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soliver\Desktop\"/>
    </mc:Choice>
  </mc:AlternateContent>
  <bookViews>
    <workbookView xWindow="0" yWindow="0" windowWidth="17260" windowHeight="5920"/>
  </bookViews>
  <sheets>
    <sheet name="ASHE Energy to Care" sheetId="23" r:id="rId1"/>
    <sheet name="Talking Points" sheetId="25" state="veryHidden" r:id="rId2"/>
    <sheet name="Key" sheetId="16" state="veryHidden" r:id="rId3"/>
    <sheet name="test" sheetId="20" state="veryHidden" r:id="rId4"/>
  </sheets>
  <definedNames>
    <definedName name="_xlnm._FilterDatabase" localSheetId="3" hidden="1">test!$A$2:$AX$120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7" i="23" l="1"/>
  <c r="D30" i="23"/>
  <c r="J11" i="25" l="1"/>
  <c r="J10" i="25"/>
  <c r="J9" i="25"/>
  <c r="B2" i="16" l="1"/>
  <c r="B1" i="16"/>
  <c r="D11" i="23" l="1"/>
  <c r="B5" i="16" l="1"/>
  <c r="B6" i="16" s="1"/>
  <c r="C1" i="16"/>
  <c r="AW120" i="20"/>
  <c r="O120" i="20"/>
  <c r="M120" i="20"/>
  <c r="AW119" i="20"/>
  <c r="O119" i="20"/>
  <c r="M119" i="20"/>
  <c r="AW118" i="20"/>
  <c r="O118" i="20"/>
  <c r="M118" i="20"/>
  <c r="AW117" i="20"/>
  <c r="O117" i="20"/>
  <c r="M117" i="20"/>
  <c r="AW116" i="20"/>
  <c r="O116" i="20"/>
  <c r="M116" i="20"/>
  <c r="AW115" i="20"/>
  <c r="O115" i="20"/>
  <c r="M115" i="20"/>
  <c r="AW114" i="20"/>
  <c r="O114" i="20"/>
  <c r="M114" i="20"/>
  <c r="AW113" i="20"/>
  <c r="O113" i="20"/>
  <c r="M113" i="20"/>
  <c r="AW112" i="20"/>
  <c r="O112" i="20"/>
  <c r="M112" i="20"/>
  <c r="AW111" i="20"/>
  <c r="O111" i="20"/>
  <c r="M111" i="20"/>
  <c r="AW110" i="20"/>
  <c r="O110" i="20"/>
  <c r="M110" i="20"/>
  <c r="AW109" i="20"/>
  <c r="O109" i="20"/>
  <c r="M109" i="20"/>
  <c r="AW108" i="20"/>
  <c r="O108" i="20"/>
  <c r="M108" i="20"/>
  <c r="AW107" i="20"/>
  <c r="O107" i="20"/>
  <c r="M107" i="20"/>
  <c r="AW106" i="20"/>
  <c r="O106" i="20"/>
  <c r="M106" i="20"/>
  <c r="AW105" i="20"/>
  <c r="O105" i="20"/>
  <c r="M105" i="20"/>
  <c r="AW104" i="20"/>
  <c r="O104" i="20"/>
  <c r="M104" i="20"/>
  <c r="AW103" i="20"/>
  <c r="O103" i="20"/>
  <c r="M103" i="20"/>
  <c r="AW102" i="20"/>
  <c r="O102" i="20"/>
  <c r="M102" i="20"/>
  <c r="AW101" i="20"/>
  <c r="O101" i="20"/>
  <c r="M101" i="20"/>
  <c r="AW100" i="20"/>
  <c r="O100" i="20"/>
  <c r="M100" i="20"/>
  <c r="AW99" i="20"/>
  <c r="O99" i="20"/>
  <c r="M99" i="20"/>
  <c r="AW98" i="20"/>
  <c r="O98" i="20"/>
  <c r="M98" i="20"/>
  <c r="AW97" i="20"/>
  <c r="O97" i="20"/>
  <c r="M97" i="20"/>
  <c r="AW96" i="20"/>
  <c r="O96" i="20"/>
  <c r="M96" i="20"/>
  <c r="AW95" i="20"/>
  <c r="O95" i="20"/>
  <c r="M95" i="20"/>
  <c r="AW94" i="20"/>
  <c r="O94" i="20"/>
  <c r="M94" i="20"/>
  <c r="AW93" i="20"/>
  <c r="O93" i="20"/>
  <c r="M93" i="20"/>
  <c r="AW92" i="20"/>
  <c r="O92" i="20"/>
  <c r="M92" i="20"/>
  <c r="AW91" i="20"/>
  <c r="O91" i="20"/>
  <c r="M91" i="20"/>
  <c r="AW90" i="20"/>
  <c r="O90" i="20"/>
  <c r="M90" i="20"/>
  <c r="AW89" i="20"/>
  <c r="O89" i="20"/>
  <c r="M89" i="20"/>
  <c r="AW88" i="20"/>
  <c r="O88" i="20"/>
  <c r="M88" i="20"/>
  <c r="AW87" i="20"/>
  <c r="O87" i="20"/>
  <c r="M87" i="20"/>
  <c r="AW86" i="20"/>
  <c r="O86" i="20"/>
  <c r="M86" i="20"/>
  <c r="AW85" i="20"/>
  <c r="O85" i="20"/>
  <c r="M85" i="20"/>
  <c r="AW84" i="20"/>
  <c r="O84" i="20"/>
  <c r="M84" i="20"/>
  <c r="AW83" i="20"/>
  <c r="O83" i="20"/>
  <c r="M83" i="20"/>
  <c r="AW82" i="20"/>
  <c r="O82" i="20"/>
  <c r="M82" i="20"/>
  <c r="AW81" i="20"/>
  <c r="O81" i="20"/>
  <c r="M81" i="20"/>
  <c r="AW80" i="20"/>
  <c r="O80" i="20"/>
  <c r="M80" i="20"/>
  <c r="AW79" i="20"/>
  <c r="O79" i="20"/>
  <c r="M79" i="20"/>
  <c r="AW78" i="20"/>
  <c r="O78" i="20"/>
  <c r="M78" i="20"/>
  <c r="AW77" i="20"/>
  <c r="O77" i="20"/>
  <c r="M77" i="20"/>
  <c r="AW76" i="20"/>
  <c r="O76" i="20"/>
  <c r="M76" i="20"/>
  <c r="AW75" i="20"/>
  <c r="O75" i="20"/>
  <c r="M75" i="20"/>
  <c r="AW74" i="20"/>
  <c r="O74" i="20"/>
  <c r="M74" i="20"/>
  <c r="AW73" i="20"/>
  <c r="O73" i="20"/>
  <c r="M73" i="20"/>
  <c r="AW72" i="20"/>
  <c r="O72" i="20"/>
  <c r="M72" i="20"/>
  <c r="AW71" i="20"/>
  <c r="O71" i="20"/>
  <c r="M71" i="20"/>
  <c r="AW70" i="20"/>
  <c r="O70" i="20"/>
  <c r="M70" i="20"/>
  <c r="AW69" i="20"/>
  <c r="O69" i="20"/>
  <c r="M69" i="20"/>
  <c r="AW68" i="20"/>
  <c r="O68" i="20"/>
  <c r="M68" i="20"/>
  <c r="AW67" i="20"/>
  <c r="O67" i="20"/>
  <c r="M67" i="20"/>
  <c r="AW66" i="20"/>
  <c r="O66" i="20"/>
  <c r="M66" i="20"/>
  <c r="AW65" i="20"/>
  <c r="O65" i="20"/>
  <c r="M65" i="20"/>
  <c r="AW64" i="20"/>
  <c r="O64" i="20"/>
  <c r="M64" i="20"/>
  <c r="AW63" i="20"/>
  <c r="O63" i="20"/>
  <c r="M63" i="20"/>
  <c r="AW62" i="20"/>
  <c r="O62" i="20"/>
  <c r="M62" i="20"/>
  <c r="AW61" i="20"/>
  <c r="O61" i="20"/>
  <c r="M61" i="20"/>
  <c r="AW60" i="20"/>
  <c r="O60" i="20"/>
  <c r="M60" i="20"/>
  <c r="AW59" i="20"/>
  <c r="O59" i="20"/>
  <c r="M59" i="20"/>
  <c r="AW58" i="20"/>
  <c r="O58" i="20"/>
  <c r="M58" i="20"/>
  <c r="AW57" i="20"/>
  <c r="O57" i="20"/>
  <c r="M57" i="20"/>
  <c r="AW56" i="20"/>
  <c r="O56" i="20"/>
  <c r="M56" i="20"/>
  <c r="AW55" i="20"/>
  <c r="O55" i="20"/>
  <c r="M55" i="20"/>
  <c r="AW54" i="20"/>
  <c r="O54" i="20"/>
  <c r="M54" i="20"/>
  <c r="AW53" i="20"/>
  <c r="O53" i="20"/>
  <c r="M53" i="20"/>
  <c r="AW52" i="20"/>
  <c r="O52" i="20"/>
  <c r="M52" i="20"/>
  <c r="AW51" i="20"/>
  <c r="O51" i="20"/>
  <c r="M51" i="20"/>
  <c r="AW50" i="20"/>
  <c r="O50" i="20"/>
  <c r="M50" i="20"/>
  <c r="AW49" i="20"/>
  <c r="O49" i="20"/>
  <c r="M49" i="20"/>
  <c r="AW48" i="20"/>
  <c r="O48" i="20"/>
  <c r="M48" i="20"/>
  <c r="AW47" i="20"/>
  <c r="O47" i="20"/>
  <c r="M47" i="20"/>
  <c r="AW46" i="20"/>
  <c r="O46" i="20"/>
  <c r="M46" i="20"/>
  <c r="AW45" i="20"/>
  <c r="O45" i="20"/>
  <c r="M45" i="20"/>
  <c r="AW44" i="20"/>
  <c r="O44" i="20"/>
  <c r="M44" i="20"/>
  <c r="AW43" i="20"/>
  <c r="O43" i="20"/>
  <c r="M43" i="20"/>
  <c r="AW42" i="20"/>
  <c r="O42" i="20"/>
  <c r="M42" i="20"/>
  <c r="AW41" i="20"/>
  <c r="O41" i="20"/>
  <c r="M41" i="20"/>
  <c r="AW40" i="20"/>
  <c r="O40" i="20"/>
  <c r="M40" i="20"/>
  <c r="AW39" i="20"/>
  <c r="O39" i="20"/>
  <c r="M39" i="20"/>
  <c r="AW38" i="20"/>
  <c r="O38" i="20"/>
  <c r="M38" i="20"/>
  <c r="AW37" i="20"/>
  <c r="O37" i="20"/>
  <c r="M37" i="20"/>
  <c r="AW36" i="20"/>
  <c r="O36" i="20"/>
  <c r="M36" i="20"/>
  <c r="AW35" i="20"/>
  <c r="O35" i="20"/>
  <c r="M35" i="20"/>
  <c r="AW34" i="20"/>
  <c r="O34" i="20"/>
  <c r="M34" i="20"/>
  <c r="AW33" i="20"/>
  <c r="O33" i="20"/>
  <c r="M33" i="20"/>
  <c r="AW32" i="20"/>
  <c r="O32" i="20"/>
  <c r="M32" i="20"/>
  <c r="AW31" i="20"/>
  <c r="O31" i="20"/>
  <c r="M31" i="20"/>
  <c r="AW30" i="20"/>
  <c r="O30" i="20"/>
  <c r="M30" i="20"/>
  <c r="AW29" i="20"/>
  <c r="O29" i="20"/>
  <c r="M29" i="20"/>
  <c r="AW28" i="20"/>
  <c r="O28" i="20"/>
  <c r="M28" i="20"/>
  <c r="AW27" i="20"/>
  <c r="O27" i="20"/>
  <c r="M27" i="20"/>
  <c r="AW26" i="20"/>
  <c r="O26" i="20"/>
  <c r="M26" i="20"/>
  <c r="AW25" i="20"/>
  <c r="O25" i="20"/>
  <c r="M25" i="20"/>
  <c r="AW24" i="20"/>
  <c r="O24" i="20"/>
  <c r="M24" i="20"/>
  <c r="AW23" i="20"/>
  <c r="O23" i="20"/>
  <c r="M23" i="20"/>
  <c r="AW22" i="20"/>
  <c r="O22" i="20"/>
  <c r="M22" i="20"/>
  <c r="AW21" i="20"/>
  <c r="O21" i="20"/>
  <c r="M21" i="20"/>
  <c r="AW20" i="20"/>
  <c r="O20" i="20"/>
  <c r="M20" i="20"/>
  <c r="AW19" i="20"/>
  <c r="O19" i="20"/>
  <c r="M19" i="20"/>
  <c r="AW18" i="20"/>
  <c r="O18" i="20"/>
  <c r="M18" i="20"/>
  <c r="AW17" i="20"/>
  <c r="O17" i="20"/>
  <c r="M17" i="20"/>
  <c r="AW16" i="20"/>
  <c r="O16" i="20"/>
  <c r="M16" i="20"/>
  <c r="AW15" i="20"/>
  <c r="O15" i="20"/>
  <c r="M15" i="20"/>
  <c r="AW14" i="20"/>
  <c r="O14" i="20"/>
  <c r="M14" i="20"/>
  <c r="AW13" i="20"/>
  <c r="O13" i="20"/>
  <c r="M13" i="20"/>
  <c r="AW12" i="20"/>
  <c r="O12" i="20"/>
  <c r="M12" i="20"/>
  <c r="AW11" i="20"/>
  <c r="O11" i="20"/>
  <c r="M11" i="20"/>
  <c r="AW10" i="20"/>
  <c r="O10" i="20"/>
  <c r="M10" i="20"/>
  <c r="AW9" i="20"/>
  <c r="O9" i="20"/>
  <c r="M9" i="20"/>
  <c r="AW8" i="20"/>
  <c r="O8" i="20"/>
  <c r="M8" i="20"/>
  <c r="AW7" i="20"/>
  <c r="O7" i="20"/>
  <c r="M7" i="20"/>
  <c r="AW6" i="20"/>
  <c r="O6" i="20"/>
  <c r="M6" i="20"/>
  <c r="AW5" i="20"/>
  <c r="O5" i="20"/>
  <c r="M5" i="20"/>
  <c r="AW4" i="20"/>
  <c r="O4" i="20"/>
  <c r="M4" i="20"/>
  <c r="AW3" i="20"/>
  <c r="O3" i="20"/>
  <c r="M3" i="20"/>
  <c r="BH4" i="20" l="1"/>
  <c r="BC6" i="20" a="1"/>
  <c r="BC6" i="20" s="1"/>
  <c r="D31" i="23" s="1"/>
  <c r="BC10" i="20" a="1"/>
  <c r="BC10" i="20" s="1"/>
  <c r="BC3" i="20"/>
  <c r="BC7" i="20" a="1"/>
  <c r="BC7" i="20" s="1"/>
  <c r="BC11" i="20" a="1"/>
  <c r="BC11" i="20" s="1"/>
  <c r="BC12" i="20" s="1"/>
  <c r="BC4" i="20" a="1"/>
  <c r="BC4" i="20" s="1"/>
  <c r="BD4" i="20" s="1"/>
  <c r="BC8" i="20" a="1"/>
  <c r="BC8" i="20" s="1"/>
  <c r="BC5" i="20" a="1"/>
  <c r="BC5" i="20" s="1"/>
  <c r="BE5" i="20" s="1"/>
  <c r="BC9" i="20" a="1"/>
  <c r="BC9" i="20" s="1"/>
  <c r="BH3" i="20"/>
  <c r="AX5" i="20"/>
  <c r="AX9" i="20"/>
  <c r="AX13" i="20"/>
  <c r="AX17" i="20"/>
  <c r="AX21" i="20"/>
  <c r="AX25" i="20"/>
  <c r="AX29" i="20"/>
  <c r="AX33" i="20"/>
  <c r="AX37" i="20"/>
  <c r="AX41" i="20"/>
  <c r="AX45" i="20"/>
  <c r="AX49" i="20"/>
  <c r="AX53" i="20"/>
  <c r="AX57" i="20"/>
  <c r="AX61" i="20"/>
  <c r="AX65" i="20"/>
  <c r="AX69" i="20"/>
  <c r="AX73" i="20"/>
  <c r="AX77" i="20"/>
  <c r="AX81" i="20"/>
  <c r="AX85" i="20"/>
  <c r="AX89" i="20"/>
  <c r="AX93" i="20"/>
  <c r="AX97" i="20"/>
  <c r="AX101" i="20"/>
  <c r="AX105" i="20"/>
  <c r="AX109" i="20"/>
  <c r="AX113" i="20"/>
  <c r="AX117" i="20"/>
  <c r="AX4" i="20"/>
  <c r="AX8" i="20"/>
  <c r="AX12" i="20"/>
  <c r="AX16" i="20"/>
  <c r="AX20" i="20"/>
  <c r="AX24" i="20"/>
  <c r="AX28" i="20"/>
  <c r="AX32" i="20"/>
  <c r="AX36" i="20"/>
  <c r="AX40" i="20"/>
  <c r="AX44" i="20"/>
  <c r="AX48" i="20"/>
  <c r="AX52" i="20"/>
  <c r="AX56" i="20"/>
  <c r="AX60" i="20"/>
  <c r="AX64" i="20"/>
  <c r="AX68" i="20"/>
  <c r="AX72" i="20"/>
  <c r="AX76" i="20"/>
  <c r="AX80" i="20"/>
  <c r="AX84" i="20"/>
  <c r="AX88" i="20"/>
  <c r="AX92" i="20"/>
  <c r="AX96" i="20"/>
  <c r="AX100" i="20"/>
  <c r="AX104" i="20"/>
  <c r="AX108" i="20"/>
  <c r="AX112" i="20"/>
  <c r="AX116" i="20"/>
  <c r="AX86" i="20"/>
  <c r="AX90" i="20"/>
  <c r="AX94" i="20"/>
  <c r="AX98" i="20"/>
  <c r="AX102" i="20"/>
  <c r="AX106" i="20"/>
  <c r="AX110" i="20"/>
  <c r="AX114" i="20"/>
  <c r="AX118" i="20"/>
  <c r="AX120" i="20"/>
  <c r="AX3" i="20"/>
  <c r="AX7" i="20"/>
  <c r="AX11" i="20"/>
  <c r="AX15" i="20"/>
  <c r="AX19" i="20"/>
  <c r="AX23" i="20"/>
  <c r="AX27" i="20"/>
  <c r="AX31" i="20"/>
  <c r="AX35" i="20"/>
  <c r="AX39" i="20"/>
  <c r="AX43" i="20"/>
  <c r="AX47" i="20"/>
  <c r="AX51" i="20"/>
  <c r="AX55" i="20"/>
  <c r="AX59" i="20"/>
  <c r="AX63" i="20"/>
  <c r="AX67" i="20"/>
  <c r="AX71" i="20"/>
  <c r="AX75" i="20"/>
  <c r="AX79" i="20"/>
  <c r="AX83" i="20"/>
  <c r="AX87" i="20"/>
  <c r="AX91" i="20"/>
  <c r="AX95" i="20"/>
  <c r="AX99" i="20"/>
  <c r="AX103" i="20"/>
  <c r="AX107" i="20"/>
  <c r="AX111" i="20"/>
  <c r="AX115" i="20"/>
  <c r="AX119" i="20"/>
  <c r="AX6" i="20"/>
  <c r="AX10" i="20"/>
  <c r="AX14" i="20"/>
  <c r="AX18" i="20"/>
  <c r="AX22" i="20"/>
  <c r="AX26" i="20"/>
  <c r="AX30" i="20"/>
  <c r="AX34" i="20"/>
  <c r="AX38" i="20"/>
  <c r="AX42" i="20"/>
  <c r="AX46" i="20"/>
  <c r="AX50" i="20"/>
  <c r="AX54" i="20"/>
  <c r="AX58" i="20"/>
  <c r="AX62" i="20"/>
  <c r="AX66" i="20"/>
  <c r="AX70" i="20"/>
  <c r="AX74" i="20"/>
  <c r="AX78" i="20"/>
  <c r="AX82" i="20"/>
  <c r="BB6" i="20"/>
  <c r="BB10" i="20"/>
  <c r="BB7" i="20"/>
  <c r="BB11" i="20"/>
  <c r="BB4" i="20"/>
  <c r="BB8" i="20"/>
  <c r="BB3" i="20"/>
  <c r="BB12" i="20"/>
  <c r="BB5" i="20"/>
  <c r="BB9" i="20"/>
  <c r="BD9" i="20" l="1"/>
  <c r="BE9" i="20"/>
  <c r="BD5" i="20"/>
  <c r="BE4" i="20"/>
  <c r="BE12" i="20"/>
  <c r="BD12" i="20"/>
  <c r="BD11" i="20"/>
  <c r="BE11" i="20"/>
  <c r="BD3" i="20"/>
  <c r="BE3" i="20"/>
  <c r="BE10" i="20"/>
  <c r="BD10" i="20"/>
  <c r="BD7" i="20"/>
  <c r="BE7" i="20"/>
  <c r="BE8" i="20"/>
  <c r="BD8" i="20"/>
  <c r="BE6" i="20"/>
  <c r="BD6" i="20"/>
  <c r="C2" i="16"/>
  <c r="B7" i="16" s="1"/>
  <c r="F3" i="16" l="1" a="1"/>
  <c r="F3" i="16" s="1"/>
  <c r="F4" i="16" l="1" a="1"/>
  <c r="F4" i="16" s="1"/>
  <c r="I3" i="16" a="1"/>
  <c r="I3" i="16" s="1"/>
  <c r="G3" i="16" a="1"/>
  <c r="G3" i="16" s="1"/>
  <c r="H3" i="16" a="1"/>
  <c r="H3" i="16" s="1"/>
  <c r="J3" i="16" a="1"/>
  <c r="J3" i="16" s="1"/>
  <c r="F5" i="16" l="1" a="1"/>
  <c r="F5" i="16" s="1"/>
  <c r="F6" i="16" s="1" a="1"/>
  <c r="F6" i="16" s="1"/>
  <c r="I4" i="16" a="1"/>
  <c r="I4" i="16" s="1"/>
  <c r="H4" i="16" a="1"/>
  <c r="H4" i="16" s="1"/>
  <c r="H5" i="16" s="1" a="1"/>
  <c r="H5" i="16" s="1"/>
  <c r="H6" i="16" s="1" a="1"/>
  <c r="H6" i="16" s="1"/>
  <c r="H7" i="16" s="1" a="1"/>
  <c r="H7" i="16" s="1"/>
  <c r="J4" i="16" a="1"/>
  <c r="J4" i="16" s="1"/>
  <c r="G4" i="16" a="1"/>
  <c r="G4" i="16" s="1"/>
  <c r="G5" i="16" s="1" a="1"/>
  <c r="G5" i="16" s="1"/>
  <c r="G6" i="16" s="1" a="1"/>
  <c r="G6" i="16" s="1"/>
  <c r="F7" i="16" l="1" a="1"/>
  <c r="F7" i="16" s="1"/>
  <c r="I5" i="16" a="1"/>
  <c r="I5" i="16" s="1"/>
  <c r="J5" i="16" a="1"/>
  <c r="J5" i="16" s="1"/>
  <c r="G7" i="16" a="1"/>
  <c r="G7" i="16" s="1"/>
  <c r="H8" i="16" a="1"/>
  <c r="H8" i="16" s="1"/>
  <c r="H9" i="16" s="1" a="1"/>
  <c r="H9" i="16" s="1"/>
  <c r="F8" i="16" l="1" a="1"/>
  <c r="F8" i="16" s="1"/>
  <c r="G8" i="16" a="1"/>
  <c r="G8" i="16" s="1"/>
  <c r="I6" i="16" a="1"/>
  <c r="I6" i="16" s="1"/>
  <c r="J6" i="16" a="1"/>
  <c r="J6" i="16" s="1"/>
  <c r="H10" i="16" a="1"/>
  <c r="H10" i="16" s="1"/>
  <c r="J7" i="16" l="1" a="1"/>
  <c r="J7" i="16" s="1"/>
  <c r="J8" i="16" s="1" a="1"/>
  <c r="J8" i="16" s="1"/>
  <c r="J9" i="16" s="1" a="1"/>
  <c r="J9" i="16" s="1"/>
  <c r="I7" i="16" a="1"/>
  <c r="I7" i="16" s="1"/>
  <c r="H11" i="16" a="1"/>
  <c r="H11" i="16" s="1"/>
  <c r="H12" i="16" s="1" a="1"/>
  <c r="H12" i="16" s="1"/>
  <c r="F9" i="16" a="1"/>
  <c r="F9" i="16" s="1"/>
  <c r="F10" i="16" s="1" a="1"/>
  <c r="F10" i="16" s="1"/>
  <c r="G9" i="16" a="1"/>
  <c r="G9" i="16" s="1"/>
  <c r="G10" i="16" s="1" a="1"/>
  <c r="G10" i="16" s="1"/>
  <c r="H13" i="16" l="1" a="1"/>
  <c r="H13" i="16" s="1"/>
  <c r="H14" i="16" s="1" a="1"/>
  <c r="H14" i="16" s="1"/>
  <c r="H15" i="16" s="1" a="1"/>
  <c r="H15" i="16" s="1"/>
  <c r="H16" i="16" s="1" a="1"/>
  <c r="H16" i="16" s="1"/>
  <c r="H17" i="16" s="1" a="1"/>
  <c r="H17" i="16" s="1"/>
  <c r="H18" i="16" s="1" a="1"/>
  <c r="H18" i="16" s="1"/>
  <c r="H19" i="16" s="1" a="1"/>
  <c r="H19" i="16" s="1"/>
  <c r="H20" i="16" s="1" a="1"/>
  <c r="H20" i="16" s="1"/>
  <c r="H21" i="16" s="1" a="1"/>
  <c r="H21" i="16" s="1"/>
  <c r="H22" i="16" s="1" a="1"/>
  <c r="H22" i="16" s="1"/>
  <c r="I8" i="16" a="1"/>
  <c r="I8" i="16" s="1"/>
  <c r="I9" i="16" s="1" a="1"/>
  <c r="I9" i="16" s="1"/>
  <c r="I10" i="16" s="1" a="1"/>
  <c r="I10" i="16" s="1"/>
  <c r="G11" i="16" a="1"/>
  <c r="G11" i="16" s="1"/>
  <c r="G12" i="16" s="1" a="1"/>
  <c r="G12" i="16" s="1"/>
  <c r="F11" i="16" a="1"/>
  <c r="F11" i="16" s="1"/>
  <c r="F12" i="16" s="1" a="1"/>
  <c r="F12" i="16" s="1"/>
  <c r="J10" i="16" a="1"/>
  <c r="J10" i="16" s="1"/>
  <c r="H23" i="16" l="1"/>
  <c r="F13" i="16" a="1"/>
  <c r="F13" i="16" s="1"/>
  <c r="F14" i="16" s="1" a="1"/>
  <c r="F14" i="16" s="1"/>
  <c r="I11" i="16" a="1"/>
  <c r="I11" i="16" s="1"/>
  <c r="I12" i="16" s="1" a="1"/>
  <c r="I12" i="16" s="1"/>
  <c r="G13" i="16" a="1"/>
  <c r="G13" i="16" s="1"/>
  <c r="G14" i="16" s="1" a="1"/>
  <c r="G14" i="16" s="1"/>
  <c r="J11" i="16" a="1"/>
  <c r="J11" i="16" s="1"/>
  <c r="J12" i="16" s="1" a="1"/>
  <c r="J12" i="16" s="1"/>
  <c r="D34" i="23" l="1"/>
  <c r="D16" i="23"/>
  <c r="I13" i="16" a="1"/>
  <c r="I13" i="16" s="1"/>
  <c r="I14" i="16" s="1" a="1"/>
  <c r="I14" i="16" s="1"/>
  <c r="I15" i="16" s="1" a="1"/>
  <c r="I15" i="16" s="1"/>
  <c r="I16" i="16" s="1" a="1"/>
  <c r="I16" i="16" s="1"/>
  <c r="I17" i="16" s="1" a="1"/>
  <c r="I17" i="16" s="1"/>
  <c r="I18" i="16" s="1" a="1"/>
  <c r="I18" i="16" s="1"/>
  <c r="I19" i="16" s="1" a="1"/>
  <c r="I19" i="16" s="1"/>
  <c r="I20" i="16" s="1" a="1"/>
  <c r="I20" i="16" s="1"/>
  <c r="I21" i="16" s="1" a="1"/>
  <c r="I21" i="16" s="1"/>
  <c r="I22" i="16" s="1" a="1"/>
  <c r="I22" i="16" s="1"/>
  <c r="F15" i="16" a="1"/>
  <c r="F15" i="16" s="1"/>
  <c r="F16" i="16" s="1" a="1"/>
  <c r="F16" i="16" s="1"/>
  <c r="F17" i="16" s="1" a="1"/>
  <c r="F17" i="16" s="1"/>
  <c r="F18" i="16" s="1" a="1"/>
  <c r="F18" i="16" s="1"/>
  <c r="F19" i="16" s="1" a="1"/>
  <c r="F19" i="16" s="1"/>
  <c r="F20" i="16" s="1" a="1"/>
  <c r="F20" i="16" s="1"/>
  <c r="F21" i="16" s="1" a="1"/>
  <c r="F21" i="16" s="1"/>
  <c r="F22" i="16" s="1" a="1"/>
  <c r="F22" i="16" s="1"/>
  <c r="J13" i="16" a="1"/>
  <c r="J13" i="16" s="1"/>
  <c r="J14" i="16" s="1" a="1"/>
  <c r="J14" i="16" s="1"/>
  <c r="J15" i="16" s="1" a="1"/>
  <c r="J15" i="16" s="1"/>
  <c r="J16" i="16" s="1" a="1"/>
  <c r="J16" i="16" s="1"/>
  <c r="J17" i="16" s="1" a="1"/>
  <c r="J17" i="16" s="1"/>
  <c r="J18" i="16" s="1" a="1"/>
  <c r="J18" i="16" s="1"/>
  <c r="J19" i="16" s="1" a="1"/>
  <c r="J19" i="16" s="1"/>
  <c r="J20" i="16" s="1" a="1"/>
  <c r="J20" i="16" s="1"/>
  <c r="J21" i="16" s="1" a="1"/>
  <c r="J21" i="16" s="1"/>
  <c r="J22" i="16" s="1" a="1"/>
  <c r="J22" i="16" s="1"/>
  <c r="G15" i="16" a="1"/>
  <c r="G15" i="16" s="1"/>
  <c r="G16" i="16" s="1" a="1"/>
  <c r="G16" i="16" s="1"/>
  <c r="G17" i="16" s="1" a="1"/>
  <c r="G17" i="16" s="1"/>
  <c r="G18" i="16" s="1" a="1"/>
  <c r="G18" i="16" s="1"/>
  <c r="G19" i="16" s="1" a="1"/>
  <c r="G19" i="16" s="1"/>
  <c r="G20" i="16" s="1" a="1"/>
  <c r="G20" i="16" s="1"/>
  <c r="G21" i="16" s="1" a="1"/>
  <c r="G21" i="16" s="1"/>
  <c r="G22" i="16" s="1" a="1"/>
  <c r="G22" i="16" s="1"/>
  <c r="F23" i="16" l="1"/>
  <c r="J23" i="16"/>
  <c r="D18" i="23" s="1"/>
  <c r="G23" i="16"/>
  <c r="I23" i="16"/>
  <c r="D17" i="23" l="1"/>
  <c r="D36" i="23"/>
  <c r="D33" i="23"/>
  <c r="D15" i="23"/>
  <c r="D14" i="23"/>
  <c r="D23" i="23" s="1"/>
  <c r="D26" i="23" l="1"/>
  <c r="D27" i="23"/>
  <c r="D24" i="23"/>
  <c r="D25" i="23" s="1"/>
  <c r="D32" i="23"/>
  <c r="D35" i="23"/>
  <c r="D29" i="23"/>
  <c r="D28" i="23"/>
</calcChain>
</file>

<file path=xl/comments1.xml><?xml version="1.0" encoding="utf-8"?>
<comments xmlns="http://schemas.openxmlformats.org/spreadsheetml/2006/main">
  <authors>
    <author>Sara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Sara:</t>
        </r>
        <r>
          <rPr>
            <sz val="9"/>
            <color indexed="81"/>
            <rFont val="Tahoma"/>
            <family val="2"/>
          </rPr>
          <t xml:space="preserve">
We used EPA's AVERT-based 2017 regional grid emission rates. Some states are split across regions. We used whatever was the greatest %. For HI and AK we used Egrid baseload averages.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Sara:</t>
        </r>
        <r>
          <rPr>
            <sz val="9"/>
            <color indexed="81"/>
            <rFont val="Tahoma"/>
            <family val="2"/>
          </rPr>
          <t xml:space="preserve">
We used high estimate at 3% discount rate from EPA Bpk internal fact sheet. Comes from and EPA AVERT + COBRA analysis.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Sara:</t>
        </r>
        <r>
          <rPr>
            <sz val="9"/>
            <color indexed="81"/>
            <rFont val="Tahoma"/>
            <family val="2"/>
          </rPr>
          <t xml:space="preserve">
from Saving Energy Saving Lives
</t>
        </r>
      </text>
    </comment>
  </commentList>
</comments>
</file>

<file path=xl/sharedStrings.xml><?xml version="1.0" encoding="utf-8"?>
<sst xmlns="http://schemas.openxmlformats.org/spreadsheetml/2006/main" count="2489" uniqueCount="558">
  <si>
    <t>Property Id</t>
  </si>
  <si>
    <t>Property Name</t>
  </si>
  <si>
    <t>Parent Property Name</t>
  </si>
  <si>
    <t>Year Ending</t>
  </si>
  <si>
    <t>City</t>
  </si>
  <si>
    <t>Postal Code</t>
  </si>
  <si>
    <t>Number of Buildings</t>
  </si>
  <si>
    <t>Year Built</t>
  </si>
  <si>
    <t>Occupancy</t>
  </si>
  <si>
    <t>Metered Areas (Energy)</t>
  </si>
  <si>
    <t>Metered Areas  (Water)</t>
  </si>
  <si>
    <t>Hospital (General Medical &amp; Surgical) - Gross Floor Area (ft²)</t>
  </si>
  <si>
    <t>Hospital (General Medical &amp; Surgical) - Licensed Bed Capacity</t>
  </si>
  <si>
    <t>Hospital (General Medical &amp; Surgical) - Number of MRI Machines</t>
  </si>
  <si>
    <t>Hospital (General Medical &amp; Surgical) - Onsite Laundry Facility</t>
  </si>
  <si>
    <t>Other - Specialty Hospital - Gross Floor Area (ft²)</t>
  </si>
  <si>
    <t>Other - Specialty Hospital - Weekly Operating Hours</t>
  </si>
  <si>
    <t>Electricity Use - Grid Purchase (kWh)</t>
  </si>
  <si>
    <t>Electricity Use – Generated from Onsite Renewable Systems and Used Onsite (kWh)</t>
  </si>
  <si>
    <t>Electricity Use - Grid Purchase and Generated from Onsite Renewable Systems (kWh)</t>
  </si>
  <si>
    <t>Natural Gas Use (therms)</t>
  </si>
  <si>
    <t>Diesel #2 Use (kBtu)</t>
  </si>
  <si>
    <t>ENERGY STAR Score</t>
  </si>
  <si>
    <t>Site EUI (kBtu/ft²)</t>
  </si>
  <si>
    <t>Site Energy Use (kBtu)</t>
  </si>
  <si>
    <t>Site Energy Use - Adjusted to Current Year (kBtu)</t>
  </si>
  <si>
    <t>Weather Normalized Site EUI (kBtu/ft²)</t>
  </si>
  <si>
    <t>Weather Normalized Water/Wastewater Site EUI (kBtu/gpd)</t>
  </si>
  <si>
    <t>Water Use (All Water Sources) (kgal)</t>
  </si>
  <si>
    <t>Energy Cost ($)</t>
  </si>
  <si>
    <t>Energy Cost Intensity ($/ft²)</t>
  </si>
  <si>
    <t>Total Water Cost (All Water Sources) ($)</t>
  </si>
  <si>
    <t>Total Water Cost Intensity (All Water Sources) ($/ft²)</t>
  </si>
  <si>
    <t>Investment in Energy Projects, Cumulative ($)</t>
  </si>
  <si>
    <t>Estimated Savings from Energy Projects, Cumulative ($)</t>
  </si>
  <si>
    <t>Green Power - Onsite and Offsite (kWh)</t>
  </si>
  <si>
    <t>Avoided Emissions - Onsite and Offsite Green Power (Metric Tons CO2e)</t>
  </si>
  <si>
    <t>Total GHG Emissions (Metric Tons CO2e)</t>
  </si>
  <si>
    <t>Direct GHG Emissions (Metric Tons CO2e)</t>
  </si>
  <si>
    <t>Indirect GHG Emissions (Metric Tons CO2e)</t>
  </si>
  <si>
    <t>Net Emissions (Metric Tons CO2e)</t>
  </si>
  <si>
    <t>State/Province</t>
  </si>
  <si>
    <t>4230654</t>
  </si>
  <si>
    <t>Geisinger Community Medical Center</t>
  </si>
  <si>
    <t>Not Applicable: Standalone Property</t>
  </si>
  <si>
    <t>Scranton</t>
  </si>
  <si>
    <t>18510</t>
  </si>
  <si>
    <t>Not Available</t>
  </si>
  <si>
    <t>1969</t>
  </si>
  <si>
    <t>Whole Building</t>
  </si>
  <si>
    <t>No</t>
  </si>
  <si>
    <t>Pennsylvania</t>
  </si>
  <si>
    <t>2793034</t>
  </si>
  <si>
    <t>Midland Memorial Hospital</t>
  </si>
  <si>
    <t>Midland</t>
  </si>
  <si>
    <t>79701</t>
  </si>
  <si>
    <t>1950</t>
  </si>
  <si>
    <t>Texas</t>
  </si>
  <si>
    <t>3759857</t>
  </si>
  <si>
    <t>Camden Clark Medical Center</t>
  </si>
  <si>
    <t>Parkersburg</t>
  </si>
  <si>
    <t>26102</t>
  </si>
  <si>
    <t>1970</t>
  </si>
  <si>
    <t>West Virginia</t>
  </si>
  <si>
    <t>2551213</t>
  </si>
  <si>
    <t>Kaiser Hospital Walnut Creek</t>
  </si>
  <si>
    <t>Walnut Creek</t>
  </si>
  <si>
    <t>94596</t>
  </si>
  <si>
    <t>1984</t>
  </si>
  <si>
    <t>California</t>
  </si>
  <si>
    <t>1986</t>
  </si>
  <si>
    <t>Oregon</t>
  </si>
  <si>
    <t>1990</t>
  </si>
  <si>
    <t>1974</t>
  </si>
  <si>
    <t>Washington</t>
  </si>
  <si>
    <t>2008</t>
  </si>
  <si>
    <t>2003</t>
  </si>
  <si>
    <t>2005</t>
  </si>
  <si>
    <t>1978</t>
  </si>
  <si>
    <t>1996</t>
  </si>
  <si>
    <t>1979</t>
  </si>
  <si>
    <t>Colorado</t>
  </si>
  <si>
    <t>Maryland</t>
  </si>
  <si>
    <t>1985</t>
  </si>
  <si>
    <t>Virginia</t>
  </si>
  <si>
    <t>2010</t>
  </si>
  <si>
    <t>1458017</t>
  </si>
  <si>
    <t>Memorial Hermann Katy Hospital</t>
  </si>
  <si>
    <t>Katy</t>
  </si>
  <si>
    <t>77494</t>
  </si>
  <si>
    <t>1967</t>
  </si>
  <si>
    <t>Ohio</t>
  </si>
  <si>
    <t>3921779</t>
  </si>
  <si>
    <t>Barnesville Hospital</t>
  </si>
  <si>
    <t>Barnesville</t>
  </si>
  <si>
    <t>43713</t>
  </si>
  <si>
    <t>1952</t>
  </si>
  <si>
    <t>4000724</t>
  </si>
  <si>
    <t>Heart Hospital</t>
  </si>
  <si>
    <t>Lafayette</t>
  </si>
  <si>
    <t>70508</t>
  </si>
  <si>
    <t>Louisiana</t>
  </si>
  <si>
    <t>1252717</t>
  </si>
  <si>
    <t>CHS Pineville</t>
  </si>
  <si>
    <t>Charlotte</t>
  </si>
  <si>
    <t>28210</t>
  </si>
  <si>
    <t>1987</t>
  </si>
  <si>
    <t>North Carolina</t>
  </si>
  <si>
    <t>4864726</t>
  </si>
  <si>
    <t>Aurora Medical Center - Summit</t>
  </si>
  <si>
    <t>Summit</t>
  </si>
  <si>
    <t>53066</t>
  </si>
  <si>
    <t>2009</t>
  </si>
  <si>
    <t>100% Yes</t>
  </si>
  <si>
    <t>Wisconsin</t>
  </si>
  <si>
    <t>1432600</t>
  </si>
  <si>
    <t>Advocate Christ Medical Center</t>
  </si>
  <si>
    <t>Oak Lawn</t>
  </si>
  <si>
    <t>60453</t>
  </si>
  <si>
    <t>2000</t>
  </si>
  <si>
    <t>Illinois</t>
  </si>
  <si>
    <t>1432627</t>
  </si>
  <si>
    <t>Advocate Good Shepherd Hospital</t>
  </si>
  <si>
    <t>Barrington</t>
  </si>
  <si>
    <t>60010</t>
  </si>
  <si>
    <t>5155855</t>
  </si>
  <si>
    <t>Advocate Eureka Hospital</t>
  </si>
  <si>
    <t>Eureka</t>
  </si>
  <si>
    <t>61530</t>
  </si>
  <si>
    <t>3909588</t>
  </si>
  <si>
    <t>Mercy Willard Hospital</t>
  </si>
  <si>
    <t>Willard</t>
  </si>
  <si>
    <t>44890</t>
  </si>
  <si>
    <t>2012</t>
  </si>
  <si>
    <t>4682536</t>
  </si>
  <si>
    <t>Russell Regional Hospital</t>
  </si>
  <si>
    <t>Russell</t>
  </si>
  <si>
    <t>67665</t>
  </si>
  <si>
    <t>1941</t>
  </si>
  <si>
    <t>Kansas</t>
  </si>
  <si>
    <t>3762047</t>
  </si>
  <si>
    <t>3901 Lone Tree Way</t>
  </si>
  <si>
    <t>Antioch</t>
  </si>
  <si>
    <t>94509</t>
  </si>
  <si>
    <t>4743676</t>
  </si>
  <si>
    <t>Wellspan Surgery and Rehab Hospital</t>
  </si>
  <si>
    <t>York</t>
  </si>
  <si>
    <t>17403</t>
  </si>
  <si>
    <t>1960</t>
  </si>
  <si>
    <t>Houston</t>
  </si>
  <si>
    <t>1989</t>
  </si>
  <si>
    <t>5017435</t>
  </si>
  <si>
    <t>Hopkins County Memorial Hospital</t>
  </si>
  <si>
    <t>Sulphur Springs</t>
  </si>
  <si>
    <t>75482</t>
  </si>
  <si>
    <t>Sugar Land</t>
  </si>
  <si>
    <t>77479</t>
  </si>
  <si>
    <t>77074</t>
  </si>
  <si>
    <t>2732380</t>
  </si>
  <si>
    <t>CHS Lincoln</t>
  </si>
  <si>
    <t>Linconton</t>
  </si>
  <si>
    <t>28092</t>
  </si>
  <si>
    <t>1252266</t>
  </si>
  <si>
    <t>Advocate Illinois Masonic Medical Center</t>
  </si>
  <si>
    <t>Chicago</t>
  </si>
  <si>
    <t>60657</t>
  </si>
  <si>
    <t>1908</t>
  </si>
  <si>
    <t>4066168</t>
  </si>
  <si>
    <t>Swedish Covenant Hospital</t>
  </si>
  <si>
    <t>Swedish Covenant Hospital Campus</t>
  </si>
  <si>
    <t>60625</t>
  </si>
  <si>
    <t>1999</t>
  </si>
  <si>
    <t>3772794</t>
  </si>
  <si>
    <t>CHS Blue Ridge Morganton</t>
  </si>
  <si>
    <t>Morganton</t>
  </si>
  <si>
    <t>28655</t>
  </si>
  <si>
    <t>3197807</t>
  </si>
  <si>
    <t>Excela Westmoreland Hospital</t>
  </si>
  <si>
    <t>Greensburg</t>
  </si>
  <si>
    <t>15601</t>
  </si>
  <si>
    <t>1922</t>
  </si>
  <si>
    <t>3606142</t>
  </si>
  <si>
    <t>Hardin Memorial Hospital</t>
  </si>
  <si>
    <t>Elizabethtown</t>
  </si>
  <si>
    <t>42701</t>
  </si>
  <si>
    <t>1954</t>
  </si>
  <si>
    <t>Kentucky</t>
  </si>
  <si>
    <t>1460283</t>
  </si>
  <si>
    <t>Memorial Hermann Southeast Hospital</t>
  </si>
  <si>
    <t>77089</t>
  </si>
  <si>
    <t>1781181</t>
  </si>
  <si>
    <t>Memorial Hermann Southwest Heart and Vascular Institute</t>
  </si>
  <si>
    <t>Memorial Hermann Southwest Campus</t>
  </si>
  <si>
    <t>2007</t>
  </si>
  <si>
    <t>77030</t>
  </si>
  <si>
    <t>Humble</t>
  </si>
  <si>
    <t>77338</t>
  </si>
  <si>
    <t>1977</t>
  </si>
  <si>
    <t>1230980</t>
  </si>
  <si>
    <t>Shriners Hospital for Children-Chicago</t>
  </si>
  <si>
    <t>60707</t>
  </si>
  <si>
    <t>1981</t>
  </si>
  <si>
    <t>1447046</t>
  </si>
  <si>
    <t>Saint Thomas West Hospital</t>
  </si>
  <si>
    <t>Nashville</t>
  </si>
  <si>
    <t>37202</t>
  </si>
  <si>
    <t>Tennessee</t>
  </si>
  <si>
    <t>1466803</t>
  </si>
  <si>
    <t>Saint Thomas Midtown Hospital (Baptist)</t>
  </si>
  <si>
    <t>37203</t>
  </si>
  <si>
    <t>2521570</t>
  </si>
  <si>
    <t>Saint Thomas Rutherford Hospital</t>
  </si>
  <si>
    <t>Murfreesboro</t>
  </si>
  <si>
    <t>37129</t>
  </si>
  <si>
    <t>28400</t>
  </si>
  <si>
    <t>NYP Columbia (West Campus)</t>
  </si>
  <si>
    <t>New York</t>
  </si>
  <si>
    <t>10032</t>
  </si>
  <si>
    <t>28402</t>
  </si>
  <si>
    <t>NYP Cornell (East Campus)</t>
  </si>
  <si>
    <t>10021</t>
  </si>
  <si>
    <t>1932</t>
  </si>
  <si>
    <t>28405</t>
  </si>
  <si>
    <t>Westchester Division</t>
  </si>
  <si>
    <t>White Plains</t>
  </si>
  <si>
    <t>10605</t>
  </si>
  <si>
    <t>1930</t>
  </si>
  <si>
    <t>28404</t>
  </si>
  <si>
    <t>The Allen Hospital</t>
  </si>
  <si>
    <t>10034</t>
  </si>
  <si>
    <t>1991</t>
  </si>
  <si>
    <t>1161724</t>
  </si>
  <si>
    <t>St. Francis Eastside</t>
  </si>
  <si>
    <t>Greenville</t>
  </si>
  <si>
    <t>29615</t>
  </si>
  <si>
    <t>South Carolina</t>
  </si>
  <si>
    <t>18251</t>
  </si>
  <si>
    <t>Bethesda North Hospital</t>
  </si>
  <si>
    <t>Cincinnati</t>
  </si>
  <si>
    <t>45242</t>
  </si>
  <si>
    <t>1160002</t>
  </si>
  <si>
    <t>St. Elizabeth Ft. Thomas</t>
  </si>
  <si>
    <t>Ft. Thomas</t>
  </si>
  <si>
    <t>41075</t>
  </si>
  <si>
    <t>1957</t>
  </si>
  <si>
    <t>1160343</t>
  </si>
  <si>
    <t>St. Elizabeth Florence</t>
  </si>
  <si>
    <t>Florence</t>
  </si>
  <si>
    <t>41042</t>
  </si>
  <si>
    <t>22023</t>
  </si>
  <si>
    <t>Good Samaritan Hospital</t>
  </si>
  <si>
    <t>45220</t>
  </si>
  <si>
    <t>1915</t>
  </si>
  <si>
    <t>1432655</t>
  </si>
  <si>
    <t>Advocate Lutheran General Hospital</t>
  </si>
  <si>
    <t>Park Ridge</t>
  </si>
  <si>
    <t>60068</t>
  </si>
  <si>
    <t>1959</t>
  </si>
  <si>
    <t>2801928</t>
  </si>
  <si>
    <t>Advocate Bromenn Medical Center</t>
  </si>
  <si>
    <t>Normal</t>
  </si>
  <si>
    <t>61761</t>
  </si>
  <si>
    <t>1966</t>
  </si>
  <si>
    <t>1224637</t>
  </si>
  <si>
    <t>Texas Children's Hospital West Tower</t>
  </si>
  <si>
    <t>1507801</t>
  </si>
  <si>
    <t>Aurora St. Lukes South Shore</t>
  </si>
  <si>
    <t>Cudahy</t>
  </si>
  <si>
    <t>53110</t>
  </si>
  <si>
    <t>1756414</t>
  </si>
  <si>
    <t>Aurora Sheboygan Memorial Medical Center</t>
  </si>
  <si>
    <t>Sheboygan</t>
  </si>
  <si>
    <t>53083</t>
  </si>
  <si>
    <t>1972</t>
  </si>
  <si>
    <t>19887</t>
  </si>
  <si>
    <t>Park Ridge Health</t>
  </si>
  <si>
    <t>Hendersonville</t>
  </si>
  <si>
    <t>28792</t>
  </si>
  <si>
    <t>1577320</t>
  </si>
  <si>
    <t>Memorial Hermann Sugar Land Hospital</t>
  </si>
  <si>
    <t>1747727</t>
  </si>
  <si>
    <t>Memorial Hermann Northeast Hospital</t>
  </si>
  <si>
    <t>1432267</t>
  </si>
  <si>
    <t>Advocate Good Samaritan Hospital</t>
  </si>
  <si>
    <t>Downers Grove</t>
  </si>
  <si>
    <t>60515</t>
  </si>
  <si>
    <t>1976</t>
  </si>
  <si>
    <t>1841784</t>
  </si>
  <si>
    <t>Advocate Condell Medical Center</t>
  </si>
  <si>
    <t>Libertyville</t>
  </si>
  <si>
    <t>60048</t>
  </si>
  <si>
    <t>1927</t>
  </si>
  <si>
    <t>1266379</t>
  </si>
  <si>
    <t>Aurora Medical Center- Oshkosh</t>
  </si>
  <si>
    <t>Oshkosh</t>
  </si>
  <si>
    <t>54904</t>
  </si>
  <si>
    <t>1955</t>
  </si>
  <si>
    <t>1432853</t>
  </si>
  <si>
    <t>Advocate Trinity Hospital</t>
  </si>
  <si>
    <t>60617</t>
  </si>
  <si>
    <t>1721339</t>
  </si>
  <si>
    <t>University of Arkansas for Medical Sciences</t>
  </si>
  <si>
    <t>Little Rock</t>
  </si>
  <si>
    <t>72205</t>
  </si>
  <si>
    <t>Arkansas</t>
  </si>
  <si>
    <t>1447047</t>
  </si>
  <si>
    <t>Providence Hospital - Mobile</t>
  </si>
  <si>
    <t>Mobile</t>
  </si>
  <si>
    <t>36685</t>
  </si>
  <si>
    <t>Alabama</t>
  </si>
  <si>
    <t>17946</t>
  </si>
  <si>
    <t>Shriners Hospital for Children - Houston</t>
  </si>
  <si>
    <t>Thompson Health Main Campus</t>
  </si>
  <si>
    <t>Canandaigua</t>
  </si>
  <si>
    <t>23140</t>
  </si>
  <si>
    <t>St. Francis Hospital &amp; Health Services</t>
  </si>
  <si>
    <t>Maryville</t>
  </si>
  <si>
    <t>64468</t>
  </si>
  <si>
    <t>1968</t>
  </si>
  <si>
    <t>Missouri</t>
  </si>
  <si>
    <t>Oklahoma</t>
  </si>
  <si>
    <t>Arizona</t>
  </si>
  <si>
    <t>4158243</t>
  </si>
  <si>
    <t>Owensboro Health Regional Hospital</t>
  </si>
  <si>
    <t>Owensboro</t>
  </si>
  <si>
    <t>42303</t>
  </si>
  <si>
    <t>Madison</t>
  </si>
  <si>
    <t>3297548</t>
  </si>
  <si>
    <t>University Hospital</t>
  </si>
  <si>
    <t>537921525</t>
  </si>
  <si>
    <t>2396333</t>
  </si>
  <si>
    <t>Aurora Medical Center Summit</t>
  </si>
  <si>
    <t>1229817</t>
  </si>
  <si>
    <t>Aurora Sinai Medical Center</t>
  </si>
  <si>
    <t>Milwaukee</t>
  </si>
  <si>
    <t>53233</t>
  </si>
  <si>
    <t>4682251</t>
  </si>
  <si>
    <t>McLaren Bay Region</t>
  </si>
  <si>
    <t>Bay City</t>
  </si>
  <si>
    <t>48708</t>
  </si>
  <si>
    <t>Michigan</t>
  </si>
  <si>
    <t>2014</t>
  </si>
  <si>
    <t>5037152</t>
  </si>
  <si>
    <t>Canyon Vista Medical Center</t>
  </si>
  <si>
    <t>Sierra Vista</t>
  </si>
  <si>
    <t>85635</t>
  </si>
  <si>
    <t>2015</t>
  </si>
  <si>
    <t>4384557</t>
  </si>
  <si>
    <t>Indiana Regional Medical Center</t>
  </si>
  <si>
    <t>Indiana</t>
  </si>
  <si>
    <t>15701</t>
  </si>
  <si>
    <t>1914</t>
  </si>
  <si>
    <t>3425772</t>
  </si>
  <si>
    <t>Latrobe Hospital</t>
  </si>
  <si>
    <t>Latrobe</t>
  </si>
  <si>
    <t>15650</t>
  </si>
  <si>
    <t>1942</t>
  </si>
  <si>
    <t>Minnesota</t>
  </si>
  <si>
    <t>4431897</t>
  </si>
  <si>
    <t>UF Health Shands Cancer Hospital</t>
  </si>
  <si>
    <t>Gainesville</t>
  </si>
  <si>
    <t>32608</t>
  </si>
  <si>
    <t>1958</t>
  </si>
  <si>
    <t>Florida</t>
  </si>
  <si>
    <t>6331862</t>
  </si>
  <si>
    <t>CA-AHCL-15630 18th Avenue</t>
  </si>
  <si>
    <t>Clearlake</t>
  </si>
  <si>
    <t>95422</t>
  </si>
  <si>
    <t>4458873</t>
  </si>
  <si>
    <t>Methodist Hospital</t>
  </si>
  <si>
    <t>Henderson</t>
  </si>
  <si>
    <t>42420</t>
  </si>
  <si>
    <t>1946</t>
  </si>
  <si>
    <t>4567806</t>
  </si>
  <si>
    <t>CHRISTUS SANTA ROSA Hospital New Braunfels</t>
  </si>
  <si>
    <t>New Braunfels</t>
  </si>
  <si>
    <t>78130</t>
  </si>
  <si>
    <t>4568549</t>
  </si>
  <si>
    <t>CHRISTUS SPOHN Hospital Kleberg</t>
  </si>
  <si>
    <t>Kingsville</t>
  </si>
  <si>
    <t>78363</t>
  </si>
  <si>
    <t>1477187</t>
  </si>
  <si>
    <t>Providence Park Hospital</t>
  </si>
  <si>
    <t>Novi</t>
  </si>
  <si>
    <t>48374</t>
  </si>
  <si>
    <t>2710504</t>
  </si>
  <si>
    <t>St. Vincent Seton Specialty Hospital</t>
  </si>
  <si>
    <t>Indianapolis</t>
  </si>
  <si>
    <t>462602478</t>
  </si>
  <si>
    <t>2001</t>
  </si>
  <si>
    <t>5788159</t>
  </si>
  <si>
    <t>BHMC-HS</t>
  </si>
  <si>
    <t>Heber Springs</t>
  </si>
  <si>
    <t>72543</t>
  </si>
  <si>
    <t>2551208</t>
  </si>
  <si>
    <t>South Sacramento Hospital Campus</t>
  </si>
  <si>
    <t>Sacramento</t>
  </si>
  <si>
    <t>95823</t>
  </si>
  <si>
    <t>Hospital Bed Capacity</t>
  </si>
  <si>
    <t>Area of the hospital</t>
  </si>
  <si>
    <t>State</t>
  </si>
  <si>
    <t>ASHE Chapter</t>
  </si>
  <si>
    <t>Combined Key</t>
  </si>
  <si>
    <t>Table 1</t>
  </si>
  <si>
    <t>VALUE</t>
  </si>
  <si>
    <t>KEY</t>
  </si>
  <si>
    <t>BedA</t>
  </si>
  <si>
    <t>BedB</t>
  </si>
  <si>
    <t>BedC</t>
  </si>
  <si>
    <t>BedD</t>
  </si>
  <si>
    <t>Table 2</t>
  </si>
  <si>
    <t>AreaA</t>
  </si>
  <si>
    <t>AreaB</t>
  </si>
  <si>
    <t>AreaC</t>
  </si>
  <si>
    <t>AreaD</t>
  </si>
  <si>
    <t>AreaE</t>
  </si>
  <si>
    <t>AreaF</t>
  </si>
  <si>
    <t>Table 3</t>
  </si>
  <si>
    <t>Value</t>
  </si>
  <si>
    <t>Key</t>
  </si>
  <si>
    <t>Maine</t>
  </si>
  <si>
    <t>Delaware</t>
  </si>
  <si>
    <t>Connecticut</t>
  </si>
  <si>
    <t>New Hampshire</t>
  </si>
  <si>
    <t>New Jersey</t>
  </si>
  <si>
    <t xml:space="preserve">Rhode Island </t>
  </si>
  <si>
    <t>Vermont</t>
  </si>
  <si>
    <t>Massachusetts</t>
  </si>
  <si>
    <t>District of Columbia</t>
  </si>
  <si>
    <t>Georgia</t>
  </si>
  <si>
    <t>Mississippi</t>
  </si>
  <si>
    <t>Iowa</t>
  </si>
  <si>
    <t>North Dakota</t>
  </si>
  <si>
    <t>South Dakota</t>
  </si>
  <si>
    <t>New Mexico</t>
  </si>
  <si>
    <t>Nebraska</t>
  </si>
  <si>
    <t>Nevada</t>
  </si>
  <si>
    <t>Utah</t>
  </si>
  <si>
    <t>Alaska</t>
  </si>
  <si>
    <t>Hawaii</t>
  </si>
  <si>
    <t>Idaho</t>
  </si>
  <si>
    <t>Montana</t>
  </si>
  <si>
    <t>Wyoming</t>
  </si>
  <si>
    <t>Region1</t>
  </si>
  <si>
    <t>Region2</t>
  </si>
  <si>
    <t>Region3</t>
  </si>
  <si>
    <t>Region4</t>
  </si>
  <si>
    <t>Region5</t>
  </si>
  <si>
    <t>Region6</t>
  </si>
  <si>
    <t>Region7</t>
  </si>
  <si>
    <t>Region8</t>
  </si>
  <si>
    <t>Region10</t>
  </si>
  <si>
    <t>Region9</t>
  </si>
  <si>
    <t>Rhode Island</t>
  </si>
  <si>
    <t>Virgina</t>
  </si>
  <si>
    <t>Region Key</t>
  </si>
  <si>
    <t>Area Key</t>
  </si>
  <si>
    <t>Bed Key</t>
  </si>
  <si>
    <t>Electric use savings (kWh)</t>
  </si>
  <si>
    <t>Site energy use (kBtu)</t>
  </si>
  <si>
    <t>Gas use savings (therms)</t>
  </si>
  <si>
    <t>hospital #1</t>
  </si>
  <si>
    <t>hospital #2</t>
  </si>
  <si>
    <t>Energystar Score</t>
  </si>
  <si>
    <t>hospital #3</t>
  </si>
  <si>
    <t>hospital #4</t>
  </si>
  <si>
    <t>hospital #5</t>
  </si>
  <si>
    <t>hospital #6</t>
  </si>
  <si>
    <t>hospital #7</t>
  </si>
  <si>
    <t>hospital #8</t>
  </si>
  <si>
    <t>hospital #9</t>
  </si>
  <si>
    <t>hospital #10</t>
  </si>
  <si>
    <t>One year electricity use savings</t>
  </si>
  <si>
    <t>One year natural gas use savings</t>
  </si>
  <si>
    <t>Weather normalized EUI % reduction</t>
  </si>
  <si>
    <t>Reduction in  EUI (kBtu/ft²)</t>
  </si>
  <si>
    <t>ASHE chapter regions</t>
  </si>
  <si>
    <t>kBtu</t>
  </si>
  <si>
    <t>kWh</t>
  </si>
  <si>
    <t>Therms</t>
  </si>
  <si>
    <t xml:space="preserve">Site energy use </t>
  </si>
  <si>
    <t>Gas use savings (Therms)</t>
  </si>
  <si>
    <t>$</t>
  </si>
  <si>
    <t>Number of EtC winners</t>
  </si>
  <si>
    <t>Winning hospital in the region</t>
  </si>
  <si>
    <t xml:space="preserve">Energy savings </t>
  </si>
  <si>
    <t>='Input sheet '!D6</t>
  </si>
  <si>
    <t>BedDAreaERegion5</t>
  </si>
  <si>
    <t>hospital #11</t>
  </si>
  <si>
    <t>hospital #12</t>
  </si>
  <si>
    <t>hospital #13</t>
  </si>
  <si>
    <t>hospital #14</t>
  </si>
  <si>
    <t>hospital #15</t>
  </si>
  <si>
    <t>hospital #16</t>
  </si>
  <si>
    <t>hospital #17</t>
  </si>
  <si>
    <t>hospital #18</t>
  </si>
  <si>
    <t>hospital #19</t>
  </si>
  <si>
    <t>hospital #20</t>
  </si>
  <si>
    <t>% reduction in EUI of</t>
  </si>
  <si>
    <t># reference tables fr vlookup</t>
  </si>
  <si>
    <t>ACEEE Data - Hospital (General Medical &amp; Surgical) for tool</t>
  </si>
  <si>
    <t>Check - if Region 10 with no winners, borrow from Region 9</t>
  </si>
  <si>
    <t>Select your state</t>
  </si>
  <si>
    <t>$ per year</t>
  </si>
  <si>
    <t xml:space="preserve">Select either bed capacity OR </t>
  </si>
  <si>
    <t>Floor area (ft2) of your hospital</t>
  </si>
  <si>
    <t>The pollution avoided would reduce health care costs</t>
  </si>
  <si>
    <t>BY PARTICIPATING IN THE ASHE ENERGY TO CARE PROGRAM WE COULD…..</t>
  </si>
  <si>
    <t>lbs per year</t>
  </si>
  <si>
    <t>Remain competative. Another hospital in our region participating in ASHE's program reduced their EUI</t>
  </si>
  <si>
    <t>Region</t>
  </si>
  <si>
    <t>Reduce our hospital’s annual operating costs</t>
  </si>
  <si>
    <t xml:space="preserve">Reduce our hospital's annual energy consumption </t>
  </si>
  <si>
    <t>Reduce fine particulate pollution</t>
  </si>
  <si>
    <t>Reduce greenhouse gas emissions</t>
  </si>
  <si>
    <t>SE</t>
  </si>
  <si>
    <t>SW</t>
  </si>
  <si>
    <t>CA</t>
  </si>
  <si>
    <t>RM</t>
  </si>
  <si>
    <t>NE</t>
  </si>
  <si>
    <t>GL</t>
  </si>
  <si>
    <t>NA</t>
  </si>
  <si>
    <t>NW</t>
  </si>
  <si>
    <t>UM</t>
  </si>
  <si>
    <t>LM</t>
  </si>
  <si>
    <t>TX</t>
  </si>
  <si>
    <t>CO2 (lbs/MWh)</t>
  </si>
  <si>
    <t>Nox (lb/MWh)</t>
  </si>
  <si>
    <t>PM2.5 (lb/MWh)</t>
  </si>
  <si>
    <t>We used EPA emission factors for small controlled low Nox burners</t>
  </si>
  <si>
    <t>Nox (lb/10x6 scf)</t>
  </si>
  <si>
    <t>CO2(lb/10 x 6 scf)</t>
  </si>
  <si>
    <t>PM (lb/10x6 scf)</t>
  </si>
  <si>
    <t>https://www3.epa.gov/ttnchie1/ap42/ch01/final/c01s04.pdf</t>
  </si>
  <si>
    <t>Convert to therms</t>
  </si>
  <si>
    <t>Nox (lb/therm)</t>
  </si>
  <si>
    <t>CO2 (lb/therm)</t>
  </si>
  <si>
    <t>PM (lb/therm)</t>
  </si>
  <si>
    <t>Reduce nitrogen oxide pollution</t>
  </si>
  <si>
    <t>Achieve electricity savings</t>
  </si>
  <si>
    <t>Reduce gas consumption</t>
  </si>
  <si>
    <t>Enter hospital's annual energy costs  ($)</t>
  </si>
  <si>
    <t>SELECT INPUTS</t>
  </si>
  <si>
    <t xml:space="preserve">Reduce our hospital's operating costs over 10 years </t>
  </si>
  <si>
    <t>of our electricity</t>
  </si>
  <si>
    <t>Reduce coal dependancy. In our region coal generates</t>
  </si>
  <si>
    <t>Achieve an ENERGY STAR Score of</t>
  </si>
  <si>
    <t>Natural Gas Emission Factors</t>
  </si>
  <si>
    <t>cents/kwh</t>
  </si>
  <si>
    <t>Reduce our energy use intensity (EUI)</t>
  </si>
  <si>
    <t xml:space="preserve">                                                     </t>
  </si>
  <si>
    <t xml:space="preserve">
*A result of #N/A below means there is no equivanet sized hospital in the ASHE program in your same region. You might be able to generate comparable results by inputing a larger or smaller sized hospital or selecting a state in a neigboring region. Air pollution and health care cost data are not available for Alaska and Hawaii.</t>
  </si>
  <si>
    <t>$/capita health benefits</t>
  </si>
  <si>
    <t xml:space="preserve">Help to reduce health care costs </t>
  </si>
  <si>
    <t>$ per person</t>
  </si>
  <si>
    <t>% of Coal Mix (EIA 2017)</t>
  </si>
  <si>
    <t>Limit our energy use to</t>
  </si>
  <si>
    <t>Energy to Care Benefits Calculator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</si>
</sst>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36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9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rgb="FF3F3F76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A0101"/>
      <name val="Helvetica Neue"/>
      <family val="2"/>
    </font>
    <font>
      <sz val="8"/>
      <color theme="1" tint="0.499984740745262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color indexed="8"/>
      <name val="Arial"/>
      <family val="2"/>
    </font>
    <font>
      <sz val="8"/>
      <color theme="1" tint="0.499984740745262"/>
      <name val="Arial"/>
      <family val="2"/>
    </font>
    <font>
      <b/>
      <sz val="10"/>
      <color indexed="8"/>
      <name val="Arial"/>
      <family val="2"/>
    </font>
    <font>
      <b/>
      <sz val="12"/>
      <color rgb="FF000000"/>
      <name val="Arial"/>
      <family val="2"/>
    </font>
    <font>
      <sz val="11"/>
      <color theme="0" tint="-0.34998626667073579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2"/>
      <color theme="0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alibri"/>
      <family val="2"/>
      <scheme val="minor"/>
    </font>
    <font>
      <b/>
      <sz val="10"/>
      <color indexed="8"/>
      <name val="Ariel"/>
    </font>
    <font>
      <sz val="10"/>
      <name val="Ariel"/>
    </font>
    <font>
      <sz val="10"/>
      <color indexed="8"/>
      <name val="Ariel"/>
    </font>
  </fonts>
  <fills count="2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6D2FF"/>
        <bgColor indexed="64"/>
      </patternFill>
    </fill>
    <fill>
      <patternFill patternType="solid">
        <fgColor rgb="FFD4FFF5"/>
        <bgColor indexed="64"/>
      </patternFill>
    </fill>
    <fill>
      <patternFill patternType="solid">
        <fgColor rgb="FFFFD6E1"/>
        <bgColor indexed="64"/>
      </patternFill>
    </fill>
    <fill>
      <patternFill patternType="solid">
        <fgColor rgb="FFADFFD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99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3087"/>
        <bgColor indexed="64"/>
      </patternFill>
    </fill>
  </fills>
  <borders count="5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16" borderId="19" applyNumberFormat="0" applyAlignment="0" applyProtection="0"/>
    <xf numFmtId="44" fontId="4" fillId="0" borderId="0" applyFont="0" applyFill="0" applyBorder="0" applyAlignment="0" applyProtection="0"/>
  </cellStyleXfs>
  <cellXfs count="342">
    <xf numFmtId="0" fontId="0" fillId="0" borderId="0" xfId="0"/>
    <xf numFmtId="0" fontId="2" fillId="0" borderId="0" xfId="0" applyFont="1" applyAlignment="1">
      <alignment vertical="center"/>
    </xf>
    <xf numFmtId="0" fontId="0" fillId="0" borderId="3" xfId="0" applyBorder="1"/>
    <xf numFmtId="0" fontId="7" fillId="0" borderId="4" xfId="0" applyFont="1" applyBorder="1"/>
    <xf numFmtId="0" fontId="0" fillId="0" borderId="5" xfId="0" applyBorder="1"/>
    <xf numFmtId="0" fontId="7" fillId="0" borderId="6" xfId="0" applyFont="1" applyBorder="1"/>
    <xf numFmtId="0" fontId="7" fillId="0" borderId="4" xfId="0" applyFont="1" applyFill="1" applyBorder="1"/>
    <xf numFmtId="0" fontId="7" fillId="0" borderId="6" xfId="0" applyFont="1" applyFill="1" applyBorder="1"/>
    <xf numFmtId="0" fontId="0" fillId="0" borderId="4" xfId="0" applyBorder="1"/>
    <xf numFmtId="0" fontId="0" fillId="0" borderId="6" xfId="0" applyBorder="1"/>
    <xf numFmtId="0" fontId="0" fillId="0" borderId="0" xfId="0" applyBorder="1"/>
    <xf numFmtId="0" fontId="8" fillId="4" borderId="0" xfId="0" applyFont="1" applyFill="1" applyBorder="1"/>
    <xf numFmtId="0" fontId="8" fillId="0" borderId="0" xfId="0" applyFont="1" applyBorder="1"/>
    <xf numFmtId="0" fontId="7" fillId="0" borderId="0" xfId="0" applyFont="1" applyFill="1" applyBorder="1"/>
    <xf numFmtId="0" fontId="0" fillId="5" borderId="1" xfId="0" applyFill="1" applyBorder="1" applyAlignment="1">
      <alignment wrapText="1"/>
    </xf>
    <xf numFmtId="14" fontId="0" fillId="5" borderId="1" xfId="0" applyNumberFormat="1" applyFill="1" applyBorder="1" applyAlignment="1">
      <alignment wrapText="1"/>
    </xf>
    <xf numFmtId="0" fontId="0" fillId="5" borderId="1" xfId="0" applyFill="1" applyBorder="1" applyAlignment="1">
      <alignment horizontal="left" wrapText="1"/>
    </xf>
    <xf numFmtId="0" fontId="0" fillId="6" borderId="1" xfId="0" applyFill="1" applyBorder="1" applyAlignment="1">
      <alignment wrapText="1"/>
    </xf>
    <xf numFmtId="14" fontId="0" fillId="6" borderId="1" xfId="0" applyNumberFormat="1" applyFill="1" applyBorder="1" applyAlignment="1">
      <alignment wrapText="1"/>
    </xf>
    <xf numFmtId="0" fontId="0" fillId="6" borderId="1" xfId="0" applyFill="1" applyBorder="1" applyAlignment="1">
      <alignment horizontal="left" wrapText="1"/>
    </xf>
    <xf numFmtId="0" fontId="0" fillId="7" borderId="1" xfId="0" applyFill="1" applyBorder="1" applyAlignment="1">
      <alignment wrapText="1"/>
    </xf>
    <xf numFmtId="14" fontId="0" fillId="7" borderId="1" xfId="0" applyNumberFormat="1" applyFill="1" applyBorder="1" applyAlignment="1">
      <alignment wrapText="1"/>
    </xf>
    <xf numFmtId="0" fontId="0" fillId="7" borderId="1" xfId="0" applyFill="1" applyBorder="1" applyAlignment="1">
      <alignment horizontal="left" wrapText="1"/>
    </xf>
    <xf numFmtId="0" fontId="0" fillId="8" borderId="1" xfId="0" applyFill="1" applyBorder="1" applyAlignment="1">
      <alignment wrapText="1"/>
    </xf>
    <xf numFmtId="14" fontId="0" fillId="8" borderId="1" xfId="0" applyNumberFormat="1" applyFill="1" applyBorder="1" applyAlignment="1">
      <alignment wrapText="1"/>
    </xf>
    <xf numFmtId="0" fontId="0" fillId="8" borderId="1" xfId="0" applyFill="1" applyBorder="1" applyAlignment="1">
      <alignment horizontal="left" wrapText="1"/>
    </xf>
    <xf numFmtId="0" fontId="0" fillId="9" borderId="1" xfId="0" applyFill="1" applyBorder="1" applyAlignment="1">
      <alignment wrapText="1"/>
    </xf>
    <xf numFmtId="14" fontId="0" fillId="9" borderId="1" xfId="0" applyNumberFormat="1" applyFill="1" applyBorder="1" applyAlignment="1">
      <alignment wrapText="1"/>
    </xf>
    <xf numFmtId="0" fontId="0" fillId="9" borderId="1" xfId="0" applyFill="1" applyBorder="1" applyAlignment="1">
      <alignment horizontal="left" wrapText="1"/>
    </xf>
    <xf numFmtId="0" fontId="0" fillId="10" borderId="1" xfId="0" applyFill="1" applyBorder="1" applyAlignment="1">
      <alignment wrapText="1"/>
    </xf>
    <xf numFmtId="14" fontId="0" fillId="10" borderId="1" xfId="0" applyNumberFormat="1" applyFill="1" applyBorder="1" applyAlignment="1">
      <alignment wrapText="1"/>
    </xf>
    <xf numFmtId="0" fontId="0" fillId="10" borderId="1" xfId="0" applyFill="1" applyBorder="1" applyAlignment="1">
      <alignment horizontal="left" wrapText="1"/>
    </xf>
    <xf numFmtId="0" fontId="0" fillId="11" borderId="1" xfId="0" applyFill="1" applyBorder="1" applyAlignment="1">
      <alignment wrapText="1"/>
    </xf>
    <xf numFmtId="14" fontId="0" fillId="11" borderId="1" xfId="0" applyNumberFormat="1" applyFill="1" applyBorder="1" applyAlignment="1">
      <alignment wrapText="1"/>
    </xf>
    <xf numFmtId="0" fontId="0" fillId="11" borderId="1" xfId="0" applyFill="1" applyBorder="1" applyAlignment="1">
      <alignment horizontal="left" wrapText="1"/>
    </xf>
    <xf numFmtId="0" fontId="0" fillId="12" borderId="1" xfId="0" applyFill="1" applyBorder="1" applyAlignment="1">
      <alignment wrapText="1"/>
    </xf>
    <xf numFmtId="14" fontId="0" fillId="12" borderId="1" xfId="0" applyNumberFormat="1" applyFill="1" applyBorder="1" applyAlignment="1">
      <alignment wrapText="1"/>
    </xf>
    <xf numFmtId="0" fontId="0" fillId="12" borderId="1" xfId="0" applyFill="1" applyBorder="1" applyAlignment="1">
      <alignment horizontal="left" wrapText="1"/>
    </xf>
    <xf numFmtId="0" fontId="0" fillId="14" borderId="1" xfId="0" applyFill="1" applyBorder="1" applyAlignment="1">
      <alignment wrapText="1"/>
    </xf>
    <xf numFmtId="14" fontId="0" fillId="14" borderId="1" xfId="0" applyNumberFormat="1" applyFill="1" applyBorder="1" applyAlignment="1">
      <alignment wrapText="1"/>
    </xf>
    <xf numFmtId="0" fontId="0" fillId="14" borderId="1" xfId="0" applyFill="1" applyBorder="1" applyAlignment="1">
      <alignment horizontal="left" wrapText="1"/>
    </xf>
    <xf numFmtId="0" fontId="0" fillId="15" borderId="1" xfId="0" applyFill="1" applyBorder="1" applyAlignment="1">
      <alignment wrapText="1"/>
    </xf>
    <xf numFmtId="14" fontId="0" fillId="15" borderId="1" xfId="0" applyNumberFormat="1" applyFill="1" applyBorder="1" applyAlignment="1">
      <alignment wrapText="1"/>
    </xf>
    <xf numFmtId="0" fontId="0" fillId="15" borderId="1" xfId="0" applyFill="1" applyBorder="1" applyAlignment="1">
      <alignment horizontal="left" wrapText="1"/>
    </xf>
    <xf numFmtId="0" fontId="5" fillId="13" borderId="1" xfId="0" applyFont="1" applyFill="1" applyBorder="1" applyAlignment="1">
      <alignment horizontal="left" wrapText="1"/>
    </xf>
    <xf numFmtId="0" fontId="0" fillId="5" borderId="0" xfId="0" applyFill="1" applyBorder="1" applyAlignment="1">
      <alignment wrapText="1"/>
    </xf>
    <xf numFmtId="0" fontId="0" fillId="6" borderId="0" xfId="0" applyFill="1" applyBorder="1" applyAlignment="1">
      <alignment wrapText="1"/>
    </xf>
    <xf numFmtId="0" fontId="0" fillId="11" borderId="0" xfId="0" applyFill="1" applyBorder="1" applyAlignment="1">
      <alignment wrapText="1"/>
    </xf>
    <xf numFmtId="14" fontId="5" fillId="13" borderId="1" xfId="0" applyNumberFormat="1" applyFont="1" applyFill="1" applyBorder="1" applyAlignment="1">
      <alignment horizontal="left" wrapText="1"/>
    </xf>
    <xf numFmtId="14" fontId="0" fillId="5" borderId="0" xfId="0" applyNumberFormat="1" applyFill="1" applyBorder="1" applyAlignment="1">
      <alignment wrapText="1"/>
    </xf>
    <xf numFmtId="14" fontId="0" fillId="6" borderId="0" xfId="0" applyNumberFormat="1" applyFill="1" applyBorder="1" applyAlignment="1">
      <alignment wrapText="1"/>
    </xf>
    <xf numFmtId="14" fontId="0" fillId="11" borderId="0" xfId="0" applyNumberFormat="1" applyFill="1" applyBorder="1" applyAlignment="1">
      <alignment wrapText="1"/>
    </xf>
    <xf numFmtId="0" fontId="0" fillId="5" borderId="0" xfId="0" applyFill="1" applyBorder="1" applyAlignment="1">
      <alignment horizontal="left" wrapText="1"/>
    </xf>
    <xf numFmtId="0" fontId="0" fillId="6" borderId="0" xfId="0" applyFill="1" applyBorder="1" applyAlignment="1">
      <alignment horizontal="left" wrapText="1"/>
    </xf>
    <xf numFmtId="0" fontId="0" fillId="11" borderId="0" xfId="0" applyFill="1" applyBorder="1" applyAlignment="1">
      <alignment horizontal="left" wrapText="1"/>
    </xf>
    <xf numFmtId="0" fontId="6" fillId="2" borderId="0" xfId="0" applyFont="1" applyFill="1" applyBorder="1"/>
    <xf numFmtId="0" fontId="0" fillId="2" borderId="0" xfId="0" applyFill="1" applyBorder="1"/>
    <xf numFmtId="0" fontId="0" fillId="9" borderId="2" xfId="0" applyFill="1" applyBorder="1" applyAlignment="1">
      <alignment wrapText="1"/>
    </xf>
    <xf numFmtId="0" fontId="0" fillId="8" borderId="2" xfId="0" applyFill="1" applyBorder="1" applyAlignment="1">
      <alignment wrapText="1"/>
    </xf>
    <xf numFmtId="14" fontId="0" fillId="9" borderId="2" xfId="0" applyNumberFormat="1" applyFill="1" applyBorder="1" applyAlignment="1">
      <alignment wrapText="1"/>
    </xf>
    <xf numFmtId="14" fontId="0" fillId="8" borderId="2" xfId="0" applyNumberFormat="1" applyFill="1" applyBorder="1" applyAlignment="1">
      <alignment wrapText="1"/>
    </xf>
    <xf numFmtId="0" fontId="0" fillId="9" borderId="2" xfId="0" applyFill="1" applyBorder="1" applyAlignment="1">
      <alignment horizontal="left" wrapText="1"/>
    </xf>
    <xf numFmtId="0" fontId="0" fillId="8" borderId="2" xfId="0" applyFill="1" applyBorder="1" applyAlignment="1">
      <alignment horizontal="left" wrapText="1"/>
    </xf>
    <xf numFmtId="0" fontId="3" fillId="0" borderId="10" xfId="0" applyFont="1" applyBorder="1" applyAlignment="1">
      <alignment horizontal="center" vertical="center" wrapText="1"/>
    </xf>
    <xf numFmtId="0" fontId="0" fillId="8" borderId="11" xfId="0" applyFill="1" applyBorder="1" applyAlignment="1">
      <alignment wrapText="1"/>
    </xf>
    <xf numFmtId="0" fontId="0" fillId="8" borderId="12" xfId="0" applyFill="1" applyBorder="1" applyAlignment="1">
      <alignment wrapText="1"/>
    </xf>
    <xf numFmtId="14" fontId="0" fillId="8" borderId="12" xfId="0" applyNumberFormat="1" applyFill="1" applyBorder="1" applyAlignment="1">
      <alignment wrapText="1"/>
    </xf>
    <xf numFmtId="0" fontId="0" fillId="8" borderId="12" xfId="0" applyFill="1" applyBorder="1" applyAlignment="1">
      <alignment horizontal="left" wrapText="1"/>
    </xf>
    <xf numFmtId="0" fontId="0" fillId="2" borderId="13" xfId="0" applyFill="1" applyBorder="1"/>
    <xf numFmtId="0" fontId="0" fillId="8" borderId="14" xfId="0" applyFill="1" applyBorder="1" applyAlignment="1">
      <alignment wrapText="1"/>
    </xf>
    <xf numFmtId="0" fontId="0" fillId="3" borderId="0" xfId="0" applyFill="1" applyBorder="1"/>
    <xf numFmtId="0" fontId="5" fillId="13" borderId="14" xfId="0" applyFont="1" applyFill="1" applyBorder="1" applyAlignment="1">
      <alignment horizontal="left" wrapText="1"/>
    </xf>
    <xf numFmtId="0" fontId="0" fillId="14" borderId="14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12" xfId="0" applyFill="1" applyBorder="1" applyAlignment="1">
      <alignment wrapText="1"/>
    </xf>
    <xf numFmtId="14" fontId="0" fillId="5" borderId="12" xfId="0" applyNumberFormat="1" applyFill="1" applyBorder="1" applyAlignment="1">
      <alignment wrapText="1"/>
    </xf>
    <xf numFmtId="0" fontId="0" fillId="5" borderId="12" xfId="0" applyFill="1" applyBorder="1" applyAlignment="1">
      <alignment horizontal="left" wrapText="1"/>
    </xf>
    <xf numFmtId="0" fontId="0" fillId="3" borderId="13" xfId="0" applyFill="1" applyBorder="1"/>
    <xf numFmtId="0" fontId="0" fillId="12" borderId="11" xfId="0" applyFill="1" applyBorder="1" applyAlignment="1">
      <alignment wrapText="1"/>
    </xf>
    <xf numFmtId="0" fontId="0" fillId="12" borderId="12" xfId="0" applyFill="1" applyBorder="1" applyAlignment="1">
      <alignment wrapText="1"/>
    </xf>
    <xf numFmtId="14" fontId="0" fillId="12" borderId="12" xfId="0" applyNumberFormat="1" applyFill="1" applyBorder="1" applyAlignment="1">
      <alignment wrapText="1"/>
    </xf>
    <xf numFmtId="0" fontId="0" fillId="12" borderId="12" xfId="0" applyFill="1" applyBorder="1" applyAlignment="1">
      <alignment horizontal="left" wrapText="1"/>
    </xf>
    <xf numFmtId="0" fontId="0" fillId="3" borderId="11" xfId="0" applyFill="1" applyBorder="1" applyAlignment="1">
      <alignment wrapText="1"/>
    </xf>
    <xf numFmtId="0" fontId="0" fillId="3" borderId="12" xfId="0" applyFill="1" applyBorder="1" applyAlignment="1">
      <alignment wrapText="1"/>
    </xf>
    <xf numFmtId="14" fontId="0" fillId="3" borderId="12" xfId="0" applyNumberFormat="1" applyFill="1" applyBorder="1" applyAlignment="1">
      <alignment wrapText="1"/>
    </xf>
    <xf numFmtId="0" fontId="0" fillId="3" borderId="12" xfId="0" applyFill="1" applyBorder="1" applyAlignment="1">
      <alignment horizontal="left" wrapText="1"/>
    </xf>
    <xf numFmtId="0" fontId="5" fillId="13" borderId="11" xfId="0" applyFont="1" applyFill="1" applyBorder="1" applyAlignment="1">
      <alignment horizontal="left" wrapText="1"/>
    </xf>
    <xf numFmtId="0" fontId="5" fillId="13" borderId="12" xfId="0" applyFont="1" applyFill="1" applyBorder="1" applyAlignment="1">
      <alignment horizontal="left" wrapText="1"/>
    </xf>
    <xf numFmtId="14" fontId="5" fillId="13" borderId="12" xfId="0" applyNumberFormat="1" applyFont="1" applyFill="1" applyBorder="1" applyAlignment="1">
      <alignment horizontal="left" wrapText="1"/>
    </xf>
    <xf numFmtId="0" fontId="0" fillId="15" borderId="14" xfId="0" applyFill="1" applyBorder="1" applyAlignment="1">
      <alignment wrapText="1"/>
    </xf>
    <xf numFmtId="0" fontId="0" fillId="9" borderId="11" xfId="0" applyFill="1" applyBorder="1" applyAlignment="1">
      <alignment wrapText="1"/>
    </xf>
    <xf numFmtId="0" fontId="0" fillId="9" borderId="12" xfId="0" applyFill="1" applyBorder="1" applyAlignment="1">
      <alignment wrapText="1"/>
    </xf>
    <xf numFmtId="14" fontId="0" fillId="9" borderId="12" xfId="0" applyNumberFormat="1" applyFill="1" applyBorder="1" applyAlignment="1">
      <alignment wrapText="1"/>
    </xf>
    <xf numFmtId="0" fontId="0" fillId="9" borderId="12" xfId="0" applyFill="1" applyBorder="1" applyAlignment="1">
      <alignment horizontal="left" wrapText="1"/>
    </xf>
    <xf numFmtId="0" fontId="0" fillId="9" borderId="14" xfId="0" applyFill="1" applyBorder="1" applyAlignment="1">
      <alignment wrapText="1"/>
    </xf>
    <xf numFmtId="0" fontId="0" fillId="11" borderId="14" xfId="0" applyFill="1" applyBorder="1" applyAlignment="1">
      <alignment wrapText="1"/>
    </xf>
    <xf numFmtId="0" fontId="0" fillId="7" borderId="11" xfId="0" applyFill="1" applyBorder="1" applyAlignment="1">
      <alignment wrapText="1"/>
    </xf>
    <xf numFmtId="0" fontId="0" fillId="7" borderId="12" xfId="0" applyFill="1" applyBorder="1" applyAlignment="1">
      <alignment wrapText="1"/>
    </xf>
    <xf numFmtId="14" fontId="0" fillId="7" borderId="12" xfId="0" applyNumberFormat="1" applyFill="1" applyBorder="1" applyAlignment="1">
      <alignment wrapText="1"/>
    </xf>
    <xf numFmtId="0" fontId="0" fillId="7" borderId="12" xfId="0" applyFill="1" applyBorder="1" applyAlignment="1">
      <alignment horizontal="left" wrapText="1"/>
    </xf>
    <xf numFmtId="0" fontId="0" fillId="15" borderId="11" xfId="0" applyFill="1" applyBorder="1" applyAlignment="1">
      <alignment wrapText="1"/>
    </xf>
    <xf numFmtId="0" fontId="0" fillId="15" borderId="12" xfId="0" applyFill="1" applyBorder="1" applyAlignment="1">
      <alignment wrapText="1"/>
    </xf>
    <xf numFmtId="14" fontId="0" fillId="15" borderId="12" xfId="0" applyNumberFormat="1" applyFill="1" applyBorder="1" applyAlignment="1">
      <alignment wrapText="1"/>
    </xf>
    <xf numFmtId="0" fontId="0" fillId="15" borderId="12" xfId="0" applyFill="1" applyBorder="1" applyAlignment="1">
      <alignment horizontal="left" wrapText="1"/>
    </xf>
    <xf numFmtId="0" fontId="0" fillId="12" borderId="14" xfId="0" applyFill="1" applyBorder="1" applyAlignment="1">
      <alignment wrapText="1"/>
    </xf>
    <xf numFmtId="0" fontId="0" fillId="5" borderId="13" xfId="0" applyFill="1" applyBorder="1"/>
    <xf numFmtId="0" fontId="0" fillId="5" borderId="0" xfId="0" applyFill="1" applyBorder="1"/>
    <xf numFmtId="0" fontId="0" fillId="10" borderId="14" xfId="0" applyFill="1" applyBorder="1" applyAlignment="1">
      <alignment wrapText="1"/>
    </xf>
    <xf numFmtId="0" fontId="0" fillId="11" borderId="11" xfId="0" applyFill="1" applyBorder="1" applyAlignment="1">
      <alignment wrapText="1"/>
    </xf>
    <xf numFmtId="0" fontId="0" fillId="11" borderId="12" xfId="0" applyFill="1" applyBorder="1" applyAlignment="1">
      <alignment wrapText="1"/>
    </xf>
    <xf numFmtId="14" fontId="0" fillId="11" borderId="12" xfId="0" applyNumberFormat="1" applyFill="1" applyBorder="1" applyAlignment="1">
      <alignment wrapText="1"/>
    </xf>
    <xf numFmtId="0" fontId="0" fillId="11" borderId="12" xfId="0" applyFill="1" applyBorder="1" applyAlignment="1">
      <alignment horizontal="left" wrapText="1"/>
    </xf>
    <xf numFmtId="0" fontId="0" fillId="5" borderId="14" xfId="0" applyFill="1" applyBorder="1" applyAlignment="1">
      <alignment wrapText="1"/>
    </xf>
    <xf numFmtId="0" fontId="0" fillId="6" borderId="5" xfId="0" applyFill="1" applyBorder="1" applyAlignment="1">
      <alignment wrapText="1"/>
    </xf>
    <xf numFmtId="0" fontId="0" fillId="6" borderId="14" xfId="0" applyFill="1" applyBorder="1" applyAlignment="1">
      <alignment wrapText="1"/>
    </xf>
    <xf numFmtId="0" fontId="0" fillId="6" borderId="0" xfId="0" applyFill="1" applyBorder="1"/>
    <xf numFmtId="0" fontId="0" fillId="7" borderId="14" xfId="0" applyFill="1" applyBorder="1" applyAlignment="1">
      <alignment wrapText="1"/>
    </xf>
    <xf numFmtId="0" fontId="0" fillId="6" borderId="13" xfId="0" applyFill="1" applyBorder="1"/>
    <xf numFmtId="0" fontId="0" fillId="7" borderId="13" xfId="0" applyFill="1" applyBorder="1"/>
    <xf numFmtId="0" fontId="0" fillId="7" borderId="0" xfId="0" applyFill="1" applyBorder="1"/>
    <xf numFmtId="0" fontId="0" fillId="3" borderId="3" xfId="0" applyFill="1" applyBorder="1" applyAlignment="1">
      <alignment wrapText="1"/>
    </xf>
    <xf numFmtId="0" fontId="0" fillId="3" borderId="13" xfId="0" applyFill="1" applyBorder="1" applyAlignment="1">
      <alignment wrapText="1"/>
    </xf>
    <xf numFmtId="14" fontId="0" fillId="3" borderId="13" xfId="0" applyNumberFormat="1" applyFill="1" applyBorder="1" applyAlignment="1">
      <alignment wrapText="1"/>
    </xf>
    <xf numFmtId="0" fontId="0" fillId="3" borderId="13" xfId="0" applyFill="1" applyBorder="1" applyAlignment="1">
      <alignment horizontal="left" wrapText="1"/>
    </xf>
    <xf numFmtId="0" fontId="0" fillId="8" borderId="13" xfId="0" applyFill="1" applyBorder="1"/>
    <xf numFmtId="0" fontId="0" fillId="8" borderId="0" xfId="0" applyFill="1" applyBorder="1"/>
    <xf numFmtId="0" fontId="0" fillId="9" borderId="13" xfId="0" applyFill="1" applyBorder="1"/>
    <xf numFmtId="0" fontId="0" fillId="9" borderId="0" xfId="0" applyFill="1" applyBorder="1"/>
    <xf numFmtId="0" fontId="0" fillId="6" borderId="11" xfId="0" applyFill="1" applyBorder="1" applyAlignment="1">
      <alignment wrapText="1"/>
    </xf>
    <xf numFmtId="0" fontId="0" fillId="6" borderId="12" xfId="0" applyFill="1" applyBorder="1" applyAlignment="1">
      <alignment wrapText="1"/>
    </xf>
    <xf numFmtId="14" fontId="0" fillId="6" borderId="12" xfId="0" applyNumberFormat="1" applyFill="1" applyBorder="1" applyAlignment="1">
      <alignment wrapText="1"/>
    </xf>
    <xf numFmtId="0" fontId="0" fillId="6" borderId="12" xfId="0" applyFill="1" applyBorder="1" applyAlignment="1">
      <alignment horizontal="left" wrapText="1"/>
    </xf>
    <xf numFmtId="0" fontId="0" fillId="9" borderId="3" xfId="0" applyFill="1" applyBorder="1" applyAlignment="1">
      <alignment wrapText="1"/>
    </xf>
    <xf numFmtId="0" fontId="0" fillId="9" borderId="13" xfId="0" applyFill="1" applyBorder="1" applyAlignment="1">
      <alignment wrapText="1"/>
    </xf>
    <xf numFmtId="14" fontId="0" fillId="9" borderId="13" xfId="0" applyNumberFormat="1" applyFill="1" applyBorder="1" applyAlignment="1">
      <alignment wrapText="1"/>
    </xf>
    <xf numFmtId="0" fontId="0" fillId="9" borderId="13" xfId="0" applyFill="1" applyBorder="1" applyAlignment="1">
      <alignment horizontal="left" wrapText="1"/>
    </xf>
    <xf numFmtId="0" fontId="0" fillId="11" borderId="0" xfId="0" applyFill="1" applyBorder="1"/>
    <xf numFmtId="0" fontId="0" fillId="11" borderId="13" xfId="0" applyFill="1" applyBorder="1"/>
    <xf numFmtId="0" fontId="0" fillId="10" borderId="11" xfId="0" applyFill="1" applyBorder="1" applyAlignment="1">
      <alignment wrapText="1"/>
    </xf>
    <xf numFmtId="0" fontId="0" fillId="10" borderId="12" xfId="0" applyFill="1" applyBorder="1" applyAlignment="1">
      <alignment wrapText="1"/>
    </xf>
    <xf numFmtId="14" fontId="0" fillId="10" borderId="12" xfId="0" applyNumberFormat="1" applyFill="1" applyBorder="1" applyAlignment="1">
      <alignment wrapText="1"/>
    </xf>
    <xf numFmtId="0" fontId="0" fillId="10" borderId="12" xfId="0" applyFill="1" applyBorder="1" applyAlignment="1">
      <alignment horizontal="left" wrapText="1"/>
    </xf>
    <xf numFmtId="0" fontId="0" fillId="10" borderId="13" xfId="0" applyFill="1" applyBorder="1"/>
    <xf numFmtId="0" fontId="0" fillId="10" borderId="0" xfId="0" applyFill="1" applyBorder="1"/>
    <xf numFmtId="0" fontId="0" fillId="5" borderId="5" xfId="0" applyFill="1" applyBorder="1" applyAlignment="1">
      <alignment wrapText="1"/>
    </xf>
    <xf numFmtId="0" fontId="0" fillId="12" borderId="0" xfId="0" applyFill="1" applyBorder="1"/>
    <xf numFmtId="0" fontId="0" fillId="12" borderId="13" xfId="0" applyFill="1" applyBorder="1"/>
    <xf numFmtId="0" fontId="0" fillId="5" borderId="16" xfId="0" applyFill="1" applyBorder="1" applyAlignment="1">
      <alignment wrapText="1"/>
    </xf>
    <xf numFmtId="0" fontId="0" fillId="5" borderId="17" xfId="0" applyFill="1" applyBorder="1" applyAlignment="1">
      <alignment wrapText="1"/>
    </xf>
    <xf numFmtId="14" fontId="0" fillId="5" borderId="17" xfId="0" applyNumberFormat="1" applyFill="1" applyBorder="1" applyAlignment="1">
      <alignment wrapText="1"/>
    </xf>
    <xf numFmtId="0" fontId="0" fillId="5" borderId="17" xfId="0" applyFill="1" applyBorder="1" applyAlignment="1">
      <alignment horizontal="left" wrapText="1"/>
    </xf>
    <xf numFmtId="0" fontId="0" fillId="13" borderId="13" xfId="0" applyFill="1" applyBorder="1"/>
    <xf numFmtId="0" fontId="0" fillId="13" borderId="0" xfId="0" applyFill="1" applyBorder="1"/>
    <xf numFmtId="0" fontId="0" fillId="8" borderId="18" xfId="0" applyFill="1" applyBorder="1" applyAlignment="1">
      <alignment wrapText="1"/>
    </xf>
    <xf numFmtId="0" fontId="0" fillId="9" borderId="18" xfId="0" applyFill="1" applyBorder="1" applyAlignment="1">
      <alignment wrapText="1"/>
    </xf>
    <xf numFmtId="0" fontId="0" fillId="9" borderId="16" xfId="0" applyFill="1" applyBorder="1" applyAlignment="1">
      <alignment wrapText="1"/>
    </xf>
    <xf numFmtId="0" fontId="0" fillId="9" borderId="17" xfId="0" applyFill="1" applyBorder="1" applyAlignment="1">
      <alignment wrapText="1"/>
    </xf>
    <xf numFmtId="14" fontId="0" fillId="9" borderId="17" xfId="0" applyNumberFormat="1" applyFill="1" applyBorder="1" applyAlignment="1">
      <alignment wrapText="1"/>
    </xf>
    <xf numFmtId="0" fontId="0" fillId="9" borderId="17" xfId="0" applyFill="1" applyBorder="1" applyAlignment="1">
      <alignment horizontal="left" wrapText="1"/>
    </xf>
    <xf numFmtId="0" fontId="0" fillId="11" borderId="5" xfId="0" applyFill="1" applyBorder="1" applyAlignment="1">
      <alignment wrapText="1"/>
    </xf>
    <xf numFmtId="0" fontId="0" fillId="14" borderId="13" xfId="0" applyFill="1" applyBorder="1"/>
    <xf numFmtId="0" fontId="0" fillId="0" borderId="0" xfId="0" applyFill="1"/>
    <xf numFmtId="0" fontId="3" fillId="0" borderId="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43" fontId="0" fillId="0" borderId="0" xfId="2" applyFont="1"/>
    <xf numFmtId="43" fontId="3" fillId="0" borderId="10" xfId="2" applyFont="1" applyBorder="1" applyAlignment="1">
      <alignment horizontal="center" vertical="center" wrapText="1"/>
    </xf>
    <xf numFmtId="43" fontId="0" fillId="8" borderId="12" xfId="2" applyFont="1" applyFill="1" applyBorder="1" applyAlignment="1">
      <alignment horizontal="left" wrapText="1"/>
    </xf>
    <xf numFmtId="43" fontId="0" fillId="8" borderId="1" xfId="2" applyFont="1" applyFill="1" applyBorder="1" applyAlignment="1">
      <alignment horizontal="left" wrapText="1"/>
    </xf>
    <xf numFmtId="43" fontId="5" fillId="13" borderId="1" xfId="2" applyFont="1" applyFill="1" applyBorder="1" applyAlignment="1">
      <alignment horizontal="left" wrapText="1"/>
    </xf>
    <xf numFmtId="43" fontId="0" fillId="14" borderId="1" xfId="2" applyFont="1" applyFill="1" applyBorder="1" applyAlignment="1">
      <alignment horizontal="left" wrapText="1"/>
    </xf>
    <xf numFmtId="43" fontId="0" fillId="5" borderId="12" xfId="2" applyFont="1" applyFill="1" applyBorder="1" applyAlignment="1">
      <alignment horizontal="left" wrapText="1"/>
    </xf>
    <xf numFmtId="43" fontId="0" fillId="12" borderId="12" xfId="2" applyFont="1" applyFill="1" applyBorder="1" applyAlignment="1">
      <alignment horizontal="left" wrapText="1"/>
    </xf>
    <xf numFmtId="43" fontId="0" fillId="3" borderId="12" xfId="2" applyFont="1" applyFill="1" applyBorder="1" applyAlignment="1">
      <alignment horizontal="left" wrapText="1"/>
    </xf>
    <xf numFmtId="43" fontId="5" fillId="13" borderId="12" xfId="2" applyFont="1" applyFill="1" applyBorder="1" applyAlignment="1">
      <alignment horizontal="left" wrapText="1"/>
    </xf>
    <xf numFmtId="43" fontId="0" fillId="15" borderId="1" xfId="2" applyFont="1" applyFill="1" applyBorder="1" applyAlignment="1">
      <alignment horizontal="left" wrapText="1"/>
    </xf>
    <xf numFmtId="43" fontId="0" fillId="9" borderId="12" xfId="2" applyFont="1" applyFill="1" applyBorder="1" applyAlignment="1">
      <alignment horizontal="left" wrapText="1"/>
    </xf>
    <xf numFmtId="43" fontId="0" fillId="9" borderId="1" xfId="2" applyFont="1" applyFill="1" applyBorder="1" applyAlignment="1">
      <alignment horizontal="left" wrapText="1"/>
    </xf>
    <xf numFmtId="43" fontId="0" fillId="11" borderId="1" xfId="2" applyFont="1" applyFill="1" applyBorder="1" applyAlignment="1">
      <alignment horizontal="left" wrapText="1"/>
    </xf>
    <xf numFmtId="43" fontId="0" fillId="7" borderId="12" xfId="2" applyFont="1" applyFill="1" applyBorder="1" applyAlignment="1">
      <alignment horizontal="left" wrapText="1"/>
    </xf>
    <xf numFmtId="43" fontId="0" fillId="15" borderId="12" xfId="2" applyFont="1" applyFill="1" applyBorder="1" applyAlignment="1">
      <alignment horizontal="left" wrapText="1"/>
    </xf>
    <xf numFmtId="43" fontId="0" fillId="12" borderId="1" xfId="2" applyFont="1" applyFill="1" applyBorder="1" applyAlignment="1">
      <alignment horizontal="left" wrapText="1"/>
    </xf>
    <xf numFmtId="43" fontId="0" fillId="10" borderId="1" xfId="2" applyFont="1" applyFill="1" applyBorder="1" applyAlignment="1">
      <alignment horizontal="left" wrapText="1"/>
    </xf>
    <xf numFmtId="43" fontId="0" fillId="11" borderId="12" xfId="2" applyFont="1" applyFill="1" applyBorder="1" applyAlignment="1">
      <alignment horizontal="left" wrapText="1"/>
    </xf>
    <xf numFmtId="43" fontId="0" fillId="5" borderId="1" xfId="2" applyFont="1" applyFill="1" applyBorder="1" applyAlignment="1">
      <alignment horizontal="left" wrapText="1"/>
    </xf>
    <xf numFmtId="43" fontId="0" fillId="6" borderId="0" xfId="2" applyFont="1" applyFill="1" applyBorder="1" applyAlignment="1">
      <alignment horizontal="left" wrapText="1"/>
    </xf>
    <xf numFmtId="43" fontId="0" fillId="6" borderId="1" xfId="2" applyFont="1" applyFill="1" applyBorder="1" applyAlignment="1">
      <alignment horizontal="left" wrapText="1"/>
    </xf>
    <xf numFmtId="43" fontId="0" fillId="7" borderId="1" xfId="2" applyFont="1" applyFill="1" applyBorder="1" applyAlignment="1">
      <alignment horizontal="left" wrapText="1"/>
    </xf>
    <xf numFmtId="43" fontId="0" fillId="3" borderId="13" xfId="2" applyFont="1" applyFill="1" applyBorder="1" applyAlignment="1">
      <alignment horizontal="left" wrapText="1"/>
    </xf>
    <xf numFmtId="43" fontId="0" fillId="6" borderId="12" xfId="2" applyFont="1" applyFill="1" applyBorder="1" applyAlignment="1">
      <alignment horizontal="left" wrapText="1"/>
    </xf>
    <xf numFmtId="43" fontId="0" fillId="9" borderId="13" xfId="2" applyFont="1" applyFill="1" applyBorder="1" applyAlignment="1">
      <alignment horizontal="left" wrapText="1"/>
    </xf>
    <xf numFmtId="43" fontId="0" fillId="10" borderId="12" xfId="2" applyFont="1" applyFill="1" applyBorder="1" applyAlignment="1">
      <alignment horizontal="left" wrapText="1"/>
    </xf>
    <xf numFmtId="43" fontId="0" fillId="5" borderId="0" xfId="2" applyFont="1" applyFill="1" applyBorder="1" applyAlignment="1">
      <alignment horizontal="left" wrapText="1"/>
    </xf>
    <xf numFmtId="43" fontId="0" fillId="5" borderId="17" xfId="2" applyFont="1" applyFill="1" applyBorder="1" applyAlignment="1">
      <alignment horizontal="left" wrapText="1"/>
    </xf>
    <xf numFmtId="43" fontId="0" fillId="8" borderId="2" xfId="2" applyFont="1" applyFill="1" applyBorder="1" applyAlignment="1">
      <alignment horizontal="left" wrapText="1"/>
    </xf>
    <xf numFmtId="43" fontId="0" fillId="9" borderId="2" xfId="2" applyFont="1" applyFill="1" applyBorder="1" applyAlignment="1">
      <alignment horizontal="left" wrapText="1"/>
    </xf>
    <xf numFmtId="43" fontId="0" fillId="9" borderId="17" xfId="2" applyFont="1" applyFill="1" applyBorder="1" applyAlignment="1">
      <alignment horizontal="left" wrapText="1"/>
    </xf>
    <xf numFmtId="43" fontId="0" fillId="11" borderId="0" xfId="2" applyFont="1" applyFill="1" applyBorder="1" applyAlignment="1">
      <alignment horizontal="left" wrapText="1"/>
    </xf>
    <xf numFmtId="164" fontId="0" fillId="0" borderId="1" xfId="2" applyNumberFormat="1" applyFont="1" applyFill="1" applyBorder="1" applyAlignment="1">
      <alignment horizontal="left" wrapText="1"/>
    </xf>
    <xf numFmtId="10" fontId="0" fillId="0" borderId="12" xfId="1" applyNumberFormat="1" applyFont="1" applyFill="1" applyBorder="1" applyAlignment="1">
      <alignment horizontal="left" wrapText="1"/>
    </xf>
    <xf numFmtId="10" fontId="0" fillId="0" borderId="20" xfId="1" applyNumberFormat="1" applyFont="1" applyFill="1" applyBorder="1" applyAlignment="1">
      <alignment horizontal="left" wrapText="1"/>
    </xf>
    <xf numFmtId="10" fontId="0" fillId="0" borderId="0" xfId="1" applyNumberFormat="1" applyFont="1" applyFill="1" applyBorder="1" applyAlignment="1">
      <alignment horizontal="left" wrapText="1"/>
    </xf>
    <xf numFmtId="10" fontId="0" fillId="0" borderId="13" xfId="1" applyNumberFormat="1" applyFont="1" applyFill="1" applyBorder="1" applyAlignment="1">
      <alignment horizontal="left" wrapText="1"/>
    </xf>
    <xf numFmtId="0" fontId="9" fillId="0" borderId="0" xfId="0" applyFont="1" applyBorder="1"/>
    <xf numFmtId="0" fontId="9" fillId="0" borderId="5" xfId="0" applyFont="1" applyBorder="1"/>
    <xf numFmtId="0" fontId="10" fillId="0" borderId="5" xfId="0" applyFont="1" applyBorder="1" applyAlignment="1">
      <alignment horizontal="right"/>
    </xf>
    <xf numFmtId="0" fontId="0" fillId="0" borderId="0" xfId="0" applyBorder="1" applyAlignment="1">
      <alignment horizontal="left"/>
    </xf>
    <xf numFmtId="2" fontId="0" fillId="0" borderId="12" xfId="1" applyNumberFormat="1" applyFont="1" applyFill="1" applyBorder="1" applyAlignment="1">
      <alignment horizontal="left" wrapText="1"/>
    </xf>
    <xf numFmtId="2" fontId="0" fillId="0" borderId="20" xfId="1" applyNumberFormat="1" applyFont="1" applyFill="1" applyBorder="1" applyAlignment="1">
      <alignment horizontal="left" wrapText="1"/>
    </xf>
    <xf numFmtId="2" fontId="0" fillId="0" borderId="0" xfId="1" applyNumberFormat="1" applyFont="1" applyFill="1" applyBorder="1" applyAlignment="1">
      <alignment horizontal="left" wrapText="1"/>
    </xf>
    <xf numFmtId="2" fontId="0" fillId="0" borderId="13" xfId="1" applyNumberFormat="1" applyFont="1" applyFill="1" applyBorder="1" applyAlignment="1">
      <alignment horizontal="left" wrapText="1"/>
    </xf>
    <xf numFmtId="0" fontId="0" fillId="0" borderId="0" xfId="0" applyBorder="1" applyAlignment="1">
      <alignment horizontal="center"/>
    </xf>
    <xf numFmtId="0" fontId="7" fillId="0" borderId="0" xfId="0" applyFont="1"/>
    <xf numFmtId="0" fontId="0" fillId="0" borderId="0" xfId="0" applyFill="1" applyBorder="1"/>
    <xf numFmtId="0" fontId="7" fillId="0" borderId="0" xfId="0" applyFont="1" applyBorder="1"/>
    <xf numFmtId="0" fontId="3" fillId="18" borderId="10" xfId="0" applyFont="1" applyFill="1" applyBorder="1" applyAlignment="1">
      <alignment horizontal="center" vertical="center" wrapText="1"/>
    </xf>
    <xf numFmtId="9" fontId="0" fillId="0" borderId="0" xfId="0" applyNumberFormat="1" applyBorder="1" applyAlignment="1">
      <alignment horizontal="left"/>
    </xf>
    <xf numFmtId="10" fontId="14" fillId="0" borderId="22" xfId="0" applyNumberFormat="1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43" fontId="0" fillId="0" borderId="0" xfId="2" applyFont="1" applyBorder="1" applyAlignment="1">
      <alignment horizontal="center"/>
    </xf>
    <xf numFmtId="43" fontId="0" fillId="0" borderId="6" xfId="2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3" fillId="0" borderId="22" xfId="0" applyFont="1" applyBorder="1"/>
    <xf numFmtId="0" fontId="0" fillId="18" borderId="21" xfId="0" applyFill="1" applyBorder="1"/>
    <xf numFmtId="0" fontId="7" fillId="18" borderId="21" xfId="0" applyFont="1" applyFill="1" applyBorder="1" applyAlignment="1">
      <alignment horizontal="center" wrapText="1"/>
    </xf>
    <xf numFmtId="43" fontId="14" fillId="0" borderId="22" xfId="2" applyFont="1" applyBorder="1" applyAlignment="1">
      <alignment horizontal="center"/>
    </xf>
    <xf numFmtId="1" fontId="14" fillId="0" borderId="22" xfId="0" applyNumberFormat="1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Border="1"/>
    <xf numFmtId="0" fontId="12" fillId="0" borderId="5" xfId="0" applyFont="1" applyBorder="1"/>
    <xf numFmtId="10" fontId="0" fillId="0" borderId="0" xfId="0" applyNumberFormat="1" applyFill="1" applyBorder="1" applyAlignment="1">
      <alignment horizontal="left"/>
    </xf>
    <xf numFmtId="2" fontId="0" fillId="0" borderId="7" xfId="2" applyNumberFormat="1" applyFont="1" applyBorder="1"/>
    <xf numFmtId="2" fontId="0" fillId="0" borderId="8" xfId="2" applyNumberFormat="1" applyFont="1" applyBorder="1"/>
    <xf numFmtId="43" fontId="0" fillId="0" borderId="0" xfId="2" applyFont="1" applyBorder="1" applyAlignment="1"/>
    <xf numFmtId="43" fontId="0" fillId="0" borderId="6" xfId="2" applyFont="1" applyBorder="1" applyAlignment="1"/>
    <xf numFmtId="0" fontId="21" fillId="19" borderId="0" xfId="0" applyFont="1" applyFill="1"/>
    <xf numFmtId="9" fontId="21" fillId="19" borderId="0" xfId="0" applyNumberFormat="1" applyFont="1" applyFill="1" applyBorder="1" applyAlignment="1">
      <alignment horizontal="left"/>
    </xf>
    <xf numFmtId="0" fontId="0" fillId="0" borderId="35" xfId="0" applyFont="1" applyBorder="1"/>
    <xf numFmtId="0" fontId="16" fillId="16" borderId="36" xfId="3" applyFont="1" applyBorder="1"/>
    <xf numFmtId="0" fontId="16" fillId="16" borderId="37" xfId="3" applyFont="1" applyBorder="1"/>
    <xf numFmtId="0" fontId="16" fillId="16" borderId="38" xfId="3" applyFont="1" applyBorder="1"/>
    <xf numFmtId="0" fontId="16" fillId="0" borderId="37" xfId="3" applyFont="1" applyFill="1" applyBorder="1"/>
    <xf numFmtId="164" fontId="4" fillId="0" borderId="32" xfId="2" applyNumberFormat="1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1" fontId="4" fillId="0" borderId="31" xfId="0" applyNumberFormat="1" applyFont="1" applyBorder="1" applyAlignment="1">
      <alignment horizontal="left"/>
    </xf>
    <xf numFmtId="49" fontId="0" fillId="0" borderId="34" xfId="0" applyNumberFormat="1" applyFont="1" applyBorder="1" applyAlignment="1">
      <alignment horizontal="left"/>
    </xf>
    <xf numFmtId="0" fontId="4" fillId="0" borderId="32" xfId="0" applyFont="1" applyFill="1" applyBorder="1" applyAlignment="1">
      <alignment horizontal="left"/>
    </xf>
    <xf numFmtId="0" fontId="4" fillId="0" borderId="33" xfId="0" applyFont="1" applyBorder="1" applyAlignment="1">
      <alignment horizontal="left"/>
    </xf>
    <xf numFmtId="0" fontId="0" fillId="0" borderId="0" xfId="0" applyFont="1" applyBorder="1"/>
    <xf numFmtId="0" fontId="22" fillId="0" borderId="23" xfId="0" applyFont="1" applyFill="1" applyBorder="1"/>
    <xf numFmtId="0" fontId="22" fillId="0" borderId="24" xfId="0" applyFont="1" applyFill="1" applyBorder="1" applyAlignment="1">
      <alignment wrapText="1"/>
    </xf>
    <xf numFmtId="0" fontId="22" fillId="0" borderId="24" xfId="0" applyFont="1" applyBorder="1" applyAlignment="1">
      <alignment wrapText="1"/>
    </xf>
    <xf numFmtId="0" fontId="22" fillId="0" borderId="25" xfId="0" applyFont="1" applyFill="1" applyBorder="1"/>
    <xf numFmtId="0" fontId="22" fillId="0" borderId="0" xfId="0" applyFont="1" applyFill="1" applyBorder="1" applyAlignment="1">
      <alignment horizontal="center"/>
    </xf>
    <xf numFmtId="10" fontId="22" fillId="0" borderId="0" xfId="0" applyNumberFormat="1" applyFont="1" applyFill="1" applyBorder="1" applyAlignment="1">
      <alignment horizontal="left"/>
    </xf>
    <xf numFmtId="10" fontId="22" fillId="0" borderId="0" xfId="0" applyNumberFormat="1" applyFont="1" applyBorder="1" applyAlignment="1">
      <alignment horizontal="left"/>
    </xf>
    <xf numFmtId="0" fontId="22" fillId="0" borderId="28" xfId="0" applyFont="1" applyFill="1" applyBorder="1" applyAlignment="1">
      <alignment horizontal="center"/>
    </xf>
    <xf numFmtId="0" fontId="22" fillId="3" borderId="0" xfId="0" applyFont="1" applyFill="1" applyBorder="1"/>
    <xf numFmtId="0" fontId="0" fillId="0" borderId="26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1" fillId="4" borderId="39" xfId="0" applyFont="1" applyFill="1" applyBorder="1"/>
    <xf numFmtId="0" fontId="1" fillId="0" borderId="40" xfId="0" applyFont="1" applyBorder="1"/>
    <xf numFmtId="0" fontId="1" fillId="4" borderId="40" xfId="0" applyFont="1" applyFill="1" applyBorder="1"/>
    <xf numFmtId="9" fontId="0" fillId="0" borderId="0" xfId="0" applyNumberFormat="1"/>
    <xf numFmtId="0" fontId="1" fillId="4" borderId="0" xfId="0" applyFont="1" applyFill="1" applyBorder="1"/>
    <xf numFmtId="0" fontId="0" fillId="0" borderId="41" xfId="0" applyBorder="1"/>
    <xf numFmtId="0" fontId="23" fillId="0" borderId="0" xfId="1" applyNumberFormat="1" applyFont="1" applyFill="1" applyBorder="1"/>
    <xf numFmtId="0" fontId="0" fillId="0" borderId="0" xfId="0" applyNumberFormat="1"/>
    <xf numFmtId="0" fontId="0" fillId="20" borderId="0" xfId="0" applyFill="1"/>
    <xf numFmtId="0" fontId="24" fillId="20" borderId="42" xfId="0" quotePrefix="1" applyNumberFormat="1" applyFont="1" applyFill="1" applyBorder="1" applyAlignment="1">
      <alignment horizontal="center" vertical="center"/>
    </xf>
    <xf numFmtId="0" fontId="24" fillId="20" borderId="42" xfId="0" quotePrefix="1" applyNumberFormat="1" applyFont="1" applyFill="1" applyBorder="1" applyAlignment="1">
      <alignment horizontal="center"/>
    </xf>
    <xf numFmtId="0" fontId="0" fillId="20" borderId="42" xfId="0" applyFill="1" applyBorder="1"/>
    <xf numFmtId="0" fontId="24" fillId="20" borderId="0" xfId="0" applyFont="1" applyFill="1" applyAlignment="1">
      <alignment horizontal="center"/>
    </xf>
    <xf numFmtId="0" fontId="0" fillId="21" borderId="0" xfId="0" applyFill="1" applyBorder="1"/>
    <xf numFmtId="0" fontId="0" fillId="21" borderId="0" xfId="0" applyFill="1" applyBorder="1" applyAlignment="1">
      <alignment horizontal="left"/>
    </xf>
    <xf numFmtId="0" fontId="20" fillId="21" borderId="0" xfId="0" applyFont="1" applyFill="1" applyBorder="1" applyAlignment="1">
      <alignment horizontal="center"/>
    </xf>
    <xf numFmtId="43" fontId="0" fillId="21" borderId="0" xfId="0" applyNumberFormat="1" applyFill="1" applyBorder="1"/>
    <xf numFmtId="0" fontId="30" fillId="21" borderId="0" xfId="0" applyFont="1" applyFill="1" applyBorder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0" fillId="20" borderId="0" xfId="0" applyFill="1" applyBorder="1"/>
    <xf numFmtId="0" fontId="0" fillId="20" borderId="0" xfId="0" applyFill="1" applyBorder="1" applyAlignment="1">
      <alignment horizontal="left"/>
    </xf>
    <xf numFmtId="0" fontId="24" fillId="21" borderId="5" xfId="3" applyFont="1" applyFill="1" applyBorder="1" applyAlignment="1" applyProtection="1">
      <alignment horizontal="right" wrapText="1"/>
      <protection hidden="1"/>
    </xf>
    <xf numFmtId="0" fontId="29" fillId="21" borderId="0" xfId="0" applyFont="1" applyFill="1" applyBorder="1" applyProtection="1">
      <protection hidden="1"/>
    </xf>
    <xf numFmtId="0" fontId="0" fillId="21" borderId="6" xfId="0" applyFill="1" applyBorder="1" applyProtection="1">
      <protection hidden="1"/>
    </xf>
    <xf numFmtId="0" fontId="24" fillId="21" borderId="5" xfId="0" applyFont="1" applyFill="1" applyBorder="1" applyAlignment="1" applyProtection="1">
      <alignment horizontal="right"/>
      <protection hidden="1"/>
    </xf>
    <xf numFmtId="0" fontId="24" fillId="21" borderId="0" xfId="0" applyFont="1" applyFill="1" applyBorder="1" applyAlignment="1" applyProtection="1">
      <alignment horizontal="right"/>
      <protection hidden="1"/>
    </xf>
    <xf numFmtId="0" fontId="19" fillId="21" borderId="0" xfId="0" applyFont="1" applyFill="1" applyBorder="1" applyAlignment="1" applyProtection="1">
      <alignment horizontal="left"/>
      <protection hidden="1"/>
    </xf>
    <xf numFmtId="0" fontId="17" fillId="21" borderId="0" xfId="0" applyFont="1" applyFill="1" applyBorder="1" applyAlignment="1" applyProtection="1">
      <alignment horizontal="left"/>
      <protection hidden="1"/>
    </xf>
    <xf numFmtId="0" fontId="17" fillId="21" borderId="0" xfId="0" applyFont="1" applyFill="1" applyBorder="1" applyProtection="1">
      <protection hidden="1"/>
    </xf>
    <xf numFmtId="0" fontId="0" fillId="21" borderId="0" xfId="0" applyFill="1" applyBorder="1" applyProtection="1">
      <protection hidden="1"/>
    </xf>
    <xf numFmtId="0" fontId="17" fillId="21" borderId="0" xfId="0" applyFont="1" applyFill="1" applyBorder="1" applyAlignment="1" applyProtection="1">
      <alignment horizontal="right"/>
      <protection hidden="1"/>
    </xf>
    <xf numFmtId="9" fontId="17" fillId="21" borderId="0" xfId="0" applyNumberFormat="1" applyFont="1" applyFill="1" applyBorder="1" applyAlignment="1" applyProtection="1">
      <alignment horizontal="right"/>
      <protection hidden="1"/>
    </xf>
    <xf numFmtId="1" fontId="17" fillId="21" borderId="0" xfId="0" applyNumberFormat="1" applyFont="1" applyFill="1" applyBorder="1" applyAlignment="1" applyProtection="1">
      <alignment horizontal="right"/>
      <protection hidden="1"/>
    </xf>
    <xf numFmtId="41" fontId="17" fillId="21" borderId="0" xfId="2" applyNumberFormat="1" applyFont="1" applyFill="1" applyBorder="1" applyAlignment="1" applyProtection="1">
      <alignment horizontal="right"/>
      <protection hidden="1"/>
    </xf>
    <xf numFmtId="0" fontId="18" fillId="21" borderId="0" xfId="0" applyFont="1" applyFill="1" applyBorder="1" applyAlignment="1" applyProtection="1">
      <alignment horizontal="left"/>
      <protection hidden="1"/>
    </xf>
    <xf numFmtId="0" fontId="19" fillId="21" borderId="0" xfId="0" applyFont="1" applyFill="1" applyBorder="1" applyAlignment="1" applyProtection="1">
      <alignment horizontal="right"/>
      <protection hidden="1"/>
    </xf>
    <xf numFmtId="0" fontId="0" fillId="21" borderId="0" xfId="0" applyFill="1" applyBorder="1" applyAlignment="1" applyProtection="1">
      <alignment horizontal="right"/>
      <protection hidden="1"/>
    </xf>
    <xf numFmtId="0" fontId="0" fillId="21" borderId="0" xfId="0" applyFill="1" applyBorder="1" applyAlignment="1" applyProtection="1">
      <alignment horizontal="left"/>
      <protection hidden="1"/>
    </xf>
    <xf numFmtId="0" fontId="15" fillId="21" borderId="0" xfId="0" applyFont="1" applyFill="1" applyBorder="1" applyAlignment="1" applyProtection="1">
      <alignment horizontal="left"/>
      <protection hidden="1"/>
    </xf>
    <xf numFmtId="0" fontId="17" fillId="21" borderId="35" xfId="0" applyFont="1" applyFill="1" applyBorder="1" applyProtection="1">
      <protection hidden="1"/>
    </xf>
    <xf numFmtId="9" fontId="33" fillId="21" borderId="30" xfId="2" applyNumberFormat="1" applyFont="1" applyFill="1" applyBorder="1" applyAlignment="1" applyProtection="1">
      <alignment horizontal="right"/>
      <protection hidden="1"/>
    </xf>
    <xf numFmtId="44" fontId="34" fillId="21" borderId="30" xfId="4" applyFont="1" applyFill="1" applyBorder="1" applyAlignment="1" applyProtection="1">
      <alignment horizontal="left"/>
      <protection hidden="1"/>
    </xf>
    <xf numFmtId="0" fontId="17" fillId="21" borderId="47" xfId="0" applyFont="1" applyFill="1" applyBorder="1" applyAlignment="1" applyProtection="1">
      <alignment horizontal="right"/>
      <protection hidden="1"/>
    </xf>
    <xf numFmtId="41" fontId="33" fillId="21" borderId="30" xfId="2" applyNumberFormat="1" applyFont="1" applyFill="1" applyBorder="1" applyAlignment="1" applyProtection="1">
      <alignment horizontal="right"/>
      <protection hidden="1"/>
    </xf>
    <xf numFmtId="164" fontId="33" fillId="21" borderId="30" xfId="2" applyNumberFormat="1" applyFont="1" applyFill="1" applyBorder="1" applyAlignment="1" applyProtection="1">
      <alignment horizontal="right"/>
      <protection hidden="1"/>
    </xf>
    <xf numFmtId="0" fontId="17" fillId="21" borderId="35" xfId="0" applyFont="1" applyFill="1" applyBorder="1" applyAlignment="1" applyProtection="1">
      <alignment wrapText="1"/>
      <protection hidden="1"/>
    </xf>
    <xf numFmtId="9" fontId="33" fillId="21" borderId="30" xfId="1" applyFont="1" applyFill="1" applyBorder="1" applyAlignment="1" applyProtection="1">
      <alignment horizontal="right"/>
      <protection hidden="1"/>
    </xf>
    <xf numFmtId="0" fontId="17" fillId="21" borderId="48" xfId="0" applyFont="1" applyFill="1" applyBorder="1" applyAlignment="1" applyProtection="1">
      <alignment horizontal="left"/>
      <protection hidden="1"/>
    </xf>
    <xf numFmtId="9" fontId="33" fillId="21" borderId="29" xfId="0" applyNumberFormat="1" applyFont="1" applyFill="1" applyBorder="1" applyAlignment="1" applyProtection="1">
      <alignment horizontal="right"/>
      <protection hidden="1"/>
    </xf>
    <xf numFmtId="0" fontId="35" fillId="21" borderId="29" xfId="0" applyFont="1" applyFill="1" applyBorder="1" applyAlignment="1" applyProtection="1">
      <alignment horizontal="left"/>
      <protection hidden="1"/>
    </xf>
    <xf numFmtId="0" fontId="0" fillId="21" borderId="49" xfId="0" applyFill="1" applyBorder="1" applyProtection="1">
      <protection hidden="1"/>
    </xf>
    <xf numFmtId="1" fontId="33" fillId="21" borderId="29" xfId="0" applyNumberFormat="1" applyFont="1" applyFill="1" applyBorder="1" applyAlignment="1" applyProtection="1">
      <alignment horizontal="right"/>
      <protection hidden="1"/>
    </xf>
    <xf numFmtId="164" fontId="33" fillId="21" borderId="29" xfId="2" applyNumberFormat="1" applyFont="1" applyFill="1" applyBorder="1" applyAlignment="1" applyProtection="1">
      <alignment horizontal="right"/>
      <protection hidden="1"/>
    </xf>
    <xf numFmtId="0" fontId="17" fillId="21" borderId="35" xfId="0" applyFont="1" applyFill="1" applyBorder="1" applyAlignment="1" applyProtection="1">
      <alignment horizontal="left"/>
      <protection hidden="1"/>
    </xf>
    <xf numFmtId="0" fontId="35" fillId="21" borderId="30" xfId="0" applyFont="1" applyFill="1" applyBorder="1" applyAlignment="1" applyProtection="1">
      <alignment horizontal="left"/>
      <protection hidden="1"/>
    </xf>
    <xf numFmtId="0" fontId="0" fillId="21" borderId="47" xfId="0" applyFill="1" applyBorder="1" applyProtection="1">
      <protection hidden="1"/>
    </xf>
    <xf numFmtId="0" fontId="17" fillId="21" borderId="15" xfId="0" applyFont="1" applyFill="1" applyBorder="1" applyAlignment="1" applyProtection="1">
      <alignment horizontal="left"/>
      <protection hidden="1"/>
    </xf>
    <xf numFmtId="164" fontId="33" fillId="21" borderId="9" xfId="0" applyNumberFormat="1" applyFont="1" applyFill="1" applyBorder="1" applyAlignment="1" applyProtection="1">
      <alignment horizontal="right"/>
      <protection hidden="1"/>
    </xf>
    <xf numFmtId="0" fontId="0" fillId="21" borderId="9" xfId="0" applyFill="1" applyBorder="1" applyProtection="1">
      <protection hidden="1"/>
    </xf>
    <xf numFmtId="0" fontId="0" fillId="21" borderId="50" xfId="0" applyFill="1" applyBorder="1" applyProtection="1">
      <protection hidden="1"/>
    </xf>
    <xf numFmtId="0" fontId="24" fillId="21" borderId="5" xfId="3" applyFont="1" applyFill="1" applyBorder="1" applyAlignment="1" applyProtection="1">
      <alignment horizontal="right"/>
      <protection hidden="1"/>
    </xf>
    <xf numFmtId="0" fontId="23" fillId="17" borderId="42" xfId="0" applyFont="1" applyFill="1" applyBorder="1" applyAlignment="1" applyProtection="1">
      <alignment horizontal="right"/>
      <protection hidden="1"/>
    </xf>
    <xf numFmtId="1" fontId="23" fillId="17" borderId="42" xfId="0" quotePrefix="1" applyNumberFormat="1" applyFont="1" applyFill="1" applyBorder="1" applyAlignment="1" applyProtection="1">
      <alignment horizontal="right"/>
      <protection hidden="1"/>
    </xf>
    <xf numFmtId="49" fontId="23" fillId="17" borderId="42" xfId="0" applyNumberFormat="1" applyFont="1" applyFill="1" applyBorder="1" applyAlignment="1" applyProtection="1">
      <alignment horizontal="left"/>
      <protection hidden="1"/>
    </xf>
    <xf numFmtId="164" fontId="23" fillId="17" borderId="42" xfId="2" applyNumberFormat="1" applyFont="1" applyFill="1" applyBorder="1" applyAlignment="1" applyProtection="1">
      <alignment horizontal="right"/>
      <protection hidden="1"/>
    </xf>
    <xf numFmtId="0" fontId="0" fillId="21" borderId="0" xfId="0" applyFill="1" applyBorder="1" applyAlignment="1">
      <alignment wrapText="1"/>
    </xf>
    <xf numFmtId="0" fontId="25" fillId="22" borderId="3" xfId="0" applyFont="1" applyFill="1" applyBorder="1" applyAlignment="1" applyProtection="1">
      <alignment horizontal="center" vertical="center"/>
      <protection hidden="1"/>
    </xf>
    <xf numFmtId="0" fontId="26" fillId="22" borderId="13" xfId="0" applyFont="1" applyFill="1" applyBorder="1" applyAlignment="1" applyProtection="1">
      <alignment horizontal="center" vertical="center"/>
      <protection hidden="1"/>
    </xf>
    <xf numFmtId="0" fontId="0" fillId="22" borderId="4" xfId="0" applyFont="1" applyFill="1" applyBorder="1" applyAlignment="1" applyProtection="1">
      <alignment vertical="center"/>
      <protection hidden="1"/>
    </xf>
    <xf numFmtId="0" fontId="30" fillId="22" borderId="44" xfId="0" applyFont="1" applyFill="1" applyBorder="1" applyAlignment="1">
      <alignment horizontal="center" vertical="center"/>
    </xf>
    <xf numFmtId="0" fontId="30" fillId="22" borderId="45" xfId="0" applyFont="1" applyFill="1" applyBorder="1" applyAlignment="1">
      <alignment horizontal="center" vertical="center"/>
    </xf>
    <xf numFmtId="0" fontId="0" fillId="22" borderId="46" xfId="0" applyFill="1" applyBorder="1" applyAlignment="1">
      <alignment horizontal="center" vertical="center"/>
    </xf>
    <xf numFmtId="0" fontId="25" fillId="22" borderId="3" xfId="0" applyFont="1" applyFill="1" applyBorder="1" applyAlignment="1">
      <alignment horizontal="center" vertical="center"/>
    </xf>
    <xf numFmtId="0" fontId="25" fillId="22" borderId="13" xfId="0" applyFont="1" applyFill="1" applyBorder="1" applyAlignment="1">
      <alignment horizontal="center" vertical="center"/>
    </xf>
    <xf numFmtId="0" fontId="0" fillId="22" borderId="4" xfId="0" applyFill="1" applyBorder="1" applyAlignment="1">
      <alignment vertical="center"/>
    </xf>
    <xf numFmtId="0" fontId="31" fillId="21" borderId="15" xfId="0" applyFont="1" applyFill="1" applyBorder="1" applyAlignment="1" applyProtection="1">
      <alignment horizontal="left" wrapText="1"/>
      <protection hidden="1"/>
    </xf>
    <xf numFmtId="0" fontId="32" fillId="0" borderId="9" xfId="0" applyFont="1" applyBorder="1" applyAlignment="1" applyProtection="1">
      <alignment horizontal="left" wrapText="1"/>
      <protection hidden="1"/>
    </xf>
    <xf numFmtId="0" fontId="32" fillId="0" borderId="43" xfId="0" applyFont="1" applyBorder="1" applyAlignment="1" applyProtection="1">
      <alignment horizontal="left" wrapText="1"/>
      <protection hidden="1"/>
    </xf>
  </cellXfs>
  <cellStyles count="5">
    <cellStyle name="Comma" xfId="2" builtinId="3"/>
    <cellStyle name="Currency" xfId="4" builtinId="4"/>
    <cellStyle name="Input" xfId="3" builtinId="20"/>
    <cellStyle name="Normal" xfId="0" builtinId="0"/>
    <cellStyle name="Percent" xfId="1" builtinId="5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numFmt numFmtId="2" formatCode="0.0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border diagonalUp="0" diagonalDown="0">
        <left/>
        <right style="medium">
          <color indexed="64"/>
        </right>
        <top/>
        <bottom/>
        <vertical/>
        <horizontal/>
      </border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bottom style="medium">
          <color indexed="64"/>
        </bottom>
      </border>
    </dxf>
  </dxfs>
  <tableStyles count="0" defaultTableStyle="TableStyleMedium2" defaultPivotStyle="PivotStyleLight16"/>
  <colors>
    <mruColors>
      <color rgb="FF78BE20"/>
      <color rgb="FF003087"/>
      <color rgb="FFADFFD4"/>
      <color rgb="FFFFD6E1"/>
      <color rgb="FFD4FFF5"/>
      <color rgb="FFFFD1CD"/>
      <color rgb="FFF6D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312420</xdr:colOff>
      <xdr:row>0</xdr:row>
      <xdr:rowOff>121920</xdr:rowOff>
    </xdr:from>
    <xdr:to>
      <xdr:col>2</xdr:col>
      <xdr:colOff>1402080</xdr:colOff>
      <xdr:row>0</xdr:row>
      <xdr:rowOff>836459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" y="121920"/>
          <a:ext cx="1653540" cy="714539"/>
        </a:xfrm>
        <a:prstGeom prst="rect">
          <a:avLst/>
        </a:prstGeom>
      </xdr:spPr>
    </xdr:pic>
    <xdr:clientData/>
  </xdr:twoCellAnchor>
  <xdr:twoCellAnchor editAs="oneCell">
    <xdr:from>
      <xdr:col>2</xdr:col>
      <xdr:colOff>1874520</xdr:colOff>
      <xdr:row>0</xdr:row>
      <xdr:rowOff>54721</xdr:rowOff>
    </xdr:from>
    <xdr:to>
      <xdr:col>3</xdr:col>
      <xdr:colOff>762000</xdr:colOff>
      <xdr:row>0</xdr:row>
      <xdr:rowOff>879076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8400" y="54721"/>
          <a:ext cx="1882140" cy="824355"/>
        </a:xfrm>
        <a:prstGeom prst="rect">
          <a:avLst/>
        </a:prstGeom>
      </xdr:spPr>
    </xdr:pic>
    <xdr:clientData/>
  </xdr:twoCellAnchor>
  <xdr:twoCellAnchor editAs="oneCell">
    <xdr:from>
      <xdr:col>4</xdr:col>
      <xdr:colOff>106680</xdr:colOff>
      <xdr:row>0</xdr:row>
      <xdr:rowOff>144780</xdr:rowOff>
    </xdr:from>
    <xdr:to>
      <xdr:col>6</xdr:col>
      <xdr:colOff>403860</xdr:colOff>
      <xdr:row>0</xdr:row>
      <xdr:rowOff>664387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3920" y="144780"/>
          <a:ext cx="1836420" cy="51960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B28:C32" totalsRowShown="0" tableBorderDxfId="25">
  <autoFilter ref="B28:C32"/>
  <tableColumns count="2">
    <tableColumn id="1" name="VALUE" dataDxfId="24"/>
    <tableColumn id="2" name="KEY" dataDxfId="2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2" displayName="Table2" ref="E28:F34" totalsRowShown="0" tableBorderDxfId="22">
  <autoFilter ref="E28:F34"/>
  <tableColumns count="2">
    <tableColumn id="1" name="VALUE" dataDxfId="21"/>
    <tableColumn id="2" name="KEY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3" displayName="Table3" ref="H28:I79" totalsRowShown="0" tableBorderDxfId="19">
  <autoFilter ref="H28:I79"/>
  <tableColumns count="2">
    <tableColumn id="1" name="Value" dataDxfId="18"/>
    <tableColumn id="2" name="Key" dataDxfId="1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40"/>
  <sheetViews>
    <sheetView tabSelected="1" topLeftCell="A4" zoomScale="125" zoomScaleNormal="120" workbookViewId="0">
      <selection activeCell="D7" sqref="D7"/>
    </sheetView>
  </sheetViews>
  <sheetFormatPr defaultColWidth="0" defaultRowHeight="14.5" zeroHeight="1"/>
  <cols>
    <col min="1" max="1" width="8.453125" style="10" customWidth="1"/>
    <col min="2" max="2" width="12" style="10" hidden="1" customWidth="1"/>
    <col min="3" max="3" width="44.90625" style="10" customWidth="1"/>
    <col min="4" max="4" width="15.453125" style="207" customWidth="1"/>
    <col min="5" max="5" width="19.36328125" style="10" customWidth="1"/>
    <col min="6" max="6" width="3.6328125" style="10" customWidth="1"/>
    <col min="7" max="7" width="10.08984375" style="10" customWidth="1"/>
    <col min="8" max="16384" width="10.90625" style="10" hidden="1"/>
  </cols>
  <sheetData>
    <row r="1" spans="1:7" ht="80.25" customHeight="1">
      <c r="A1" s="283"/>
      <c r="B1" s="283"/>
      <c r="C1" s="283"/>
      <c r="D1" s="284"/>
      <c r="E1" s="283"/>
      <c r="F1" s="283"/>
      <c r="G1" s="283"/>
    </row>
    <row r="2" spans="1:7" ht="23.25" customHeight="1" thickBot="1">
      <c r="A2" s="277"/>
      <c r="B2" s="277"/>
      <c r="C2" s="277"/>
      <c r="D2" s="278"/>
      <c r="E2" s="277"/>
      <c r="F2" s="277"/>
      <c r="G2" s="277"/>
    </row>
    <row r="3" spans="1:7" ht="24" customHeight="1" thickBot="1">
      <c r="A3" s="277" t="s">
        <v>550</v>
      </c>
      <c r="B3" s="277"/>
      <c r="C3" s="333" t="s">
        <v>557</v>
      </c>
      <c r="D3" s="334"/>
      <c r="E3" s="334"/>
      <c r="F3" s="335"/>
      <c r="G3" s="277"/>
    </row>
    <row r="4" spans="1:7" ht="7.5" customHeight="1">
      <c r="A4" s="277"/>
      <c r="B4" s="277"/>
      <c r="C4" s="281"/>
      <c r="D4" s="281"/>
      <c r="E4" s="281"/>
      <c r="F4" s="282"/>
      <c r="G4" s="277"/>
    </row>
    <row r="5" spans="1:7" ht="11.25" customHeight="1" thickBot="1">
      <c r="A5" s="277"/>
      <c r="B5" s="277"/>
      <c r="C5" s="279"/>
      <c r="D5" s="279"/>
      <c r="E5" s="279"/>
      <c r="F5" s="277"/>
      <c r="G5" s="277"/>
    </row>
    <row r="6" spans="1:7" ht="19.5" customHeight="1">
      <c r="A6" s="277"/>
      <c r="B6" s="277"/>
      <c r="C6" s="336" t="s">
        <v>542</v>
      </c>
      <c r="D6" s="337"/>
      <c r="E6" s="337"/>
      <c r="F6" s="338"/>
      <c r="G6" s="277"/>
    </row>
    <row r="7" spans="1:7">
      <c r="A7" s="329"/>
      <c r="B7" s="329"/>
      <c r="C7" s="324" t="s">
        <v>504</v>
      </c>
      <c r="D7" s="325">
        <v>0</v>
      </c>
      <c r="E7" s="286"/>
      <c r="F7" s="287"/>
      <c r="G7" s="277"/>
    </row>
    <row r="8" spans="1:7">
      <c r="A8" s="329"/>
      <c r="B8" s="329"/>
      <c r="C8" s="324" t="s">
        <v>505</v>
      </c>
      <c r="D8" s="326">
        <v>0</v>
      </c>
      <c r="E8" s="286"/>
      <c r="F8" s="287"/>
      <c r="G8" s="277"/>
    </row>
    <row r="9" spans="1:7">
      <c r="A9" s="277"/>
      <c r="B9" s="277"/>
      <c r="C9" s="285" t="s">
        <v>502</v>
      </c>
      <c r="D9" s="327" t="s">
        <v>309</v>
      </c>
      <c r="E9" s="286"/>
      <c r="F9" s="287"/>
      <c r="G9" s="277"/>
    </row>
    <row r="10" spans="1:7">
      <c r="A10" s="277"/>
      <c r="B10" s="277"/>
      <c r="C10" s="285" t="s">
        <v>541</v>
      </c>
      <c r="D10" s="328"/>
      <c r="E10" s="286"/>
      <c r="F10" s="287"/>
      <c r="G10" s="277"/>
    </row>
    <row r="11" spans="1:7">
      <c r="A11" s="277"/>
      <c r="B11" s="277"/>
      <c r="C11" s="288" t="s">
        <v>401</v>
      </c>
      <c r="D11" s="289" t="str">
        <f>VLOOKUP(D9,Table3[#All],2,0)</f>
        <v>Region4</v>
      </c>
      <c r="E11" s="286"/>
      <c r="F11" s="287"/>
      <c r="G11" s="277"/>
    </row>
    <row r="12" spans="1:7" ht="45" customHeight="1" thickBot="1">
      <c r="A12" s="277"/>
      <c r="B12" s="277"/>
      <c r="C12" s="339" t="s">
        <v>551</v>
      </c>
      <c r="D12" s="340"/>
      <c r="E12" s="340"/>
      <c r="F12" s="341"/>
      <c r="G12" s="277"/>
    </row>
    <row r="13" spans="1:7">
      <c r="A13" s="277"/>
      <c r="B13" s="277"/>
      <c r="C13" s="290"/>
      <c r="D13" s="291"/>
      <c r="E13" s="292"/>
      <c r="F13" s="293"/>
      <c r="G13" s="277"/>
    </row>
    <row r="14" spans="1:7" hidden="1">
      <c r="A14" s="277"/>
      <c r="B14" s="277"/>
      <c r="C14" s="294" t="s">
        <v>498</v>
      </c>
      <c r="D14" s="295" t="e">
        <f>Key!F23</f>
        <v>#N/A</v>
      </c>
      <c r="E14" s="292"/>
      <c r="F14" s="293"/>
      <c r="G14" s="277"/>
    </row>
    <row r="15" spans="1:7" hidden="1">
      <c r="A15" s="277"/>
      <c r="B15" s="277"/>
      <c r="C15" s="294" t="s">
        <v>463</v>
      </c>
      <c r="D15" s="296" t="e">
        <f>Key!G23</f>
        <v>#N/A</v>
      </c>
      <c r="E15" s="292"/>
      <c r="F15" s="293"/>
      <c r="G15" s="277"/>
    </row>
    <row r="16" spans="1:7" hidden="1">
      <c r="A16" s="277"/>
      <c r="B16" s="277"/>
      <c r="C16" s="294" t="s">
        <v>480</v>
      </c>
      <c r="D16" s="297" t="e">
        <f>Key!H23</f>
        <v>#N/A</v>
      </c>
      <c r="E16" s="292" t="s">
        <v>477</v>
      </c>
      <c r="F16" s="293"/>
      <c r="G16" s="277"/>
    </row>
    <row r="17" spans="1:7" hidden="1">
      <c r="A17" s="277"/>
      <c r="B17" s="277"/>
      <c r="C17" s="294" t="s">
        <v>458</v>
      </c>
      <c r="D17" s="297" t="e">
        <f>IF(Key!I23&gt;0,Key!I23,0)</f>
        <v>#N/A</v>
      </c>
      <c r="E17" s="292" t="s">
        <v>478</v>
      </c>
      <c r="F17" s="293"/>
      <c r="G17" s="277"/>
    </row>
    <row r="18" spans="1:7" hidden="1">
      <c r="A18" s="277"/>
      <c r="B18" s="277"/>
      <c r="C18" s="294" t="s">
        <v>481</v>
      </c>
      <c r="D18" s="297">
        <f>IFERROR(Key!J23,0)</f>
        <v>0</v>
      </c>
      <c r="E18" s="292" t="s">
        <v>479</v>
      </c>
      <c r="F18" s="293"/>
      <c r="G18" s="277"/>
    </row>
    <row r="19" spans="1:7" hidden="1">
      <c r="A19" s="277"/>
      <c r="B19" s="277"/>
      <c r="C19" s="294"/>
      <c r="D19" s="298"/>
      <c r="E19" s="292"/>
      <c r="F19" s="293"/>
      <c r="G19" s="277"/>
    </row>
    <row r="20" spans="1:7" hidden="1">
      <c r="A20" s="277"/>
      <c r="B20" s="277"/>
      <c r="C20" s="299"/>
      <c r="D20" s="292"/>
      <c r="E20" s="292"/>
      <c r="F20" s="293"/>
      <c r="G20" s="277"/>
    </row>
    <row r="21" spans="1:7" s="214" customFormat="1" ht="15" thickBot="1">
      <c r="A21" s="277"/>
      <c r="B21" s="277"/>
      <c r="C21" s="300"/>
      <c r="D21" s="301"/>
      <c r="E21" s="302"/>
      <c r="F21" s="293"/>
      <c r="G21" s="277"/>
    </row>
    <row r="22" spans="1:7" ht="19.5" customHeight="1">
      <c r="A22" s="277"/>
      <c r="B22" s="277"/>
      <c r="C22" s="330" t="s">
        <v>507</v>
      </c>
      <c r="D22" s="331"/>
      <c r="E22" s="331"/>
      <c r="F22" s="332"/>
      <c r="G22" s="277"/>
    </row>
    <row r="23" spans="1:7" ht="20.149999999999999" customHeight="1">
      <c r="A23" s="277"/>
      <c r="B23" s="277"/>
      <c r="C23" s="303" t="s">
        <v>512</v>
      </c>
      <c r="D23" s="304" t="e">
        <f>IF(D14&gt;0,D14,0)</f>
        <v>#N/A</v>
      </c>
      <c r="E23" s="305"/>
      <c r="F23" s="306"/>
      <c r="G23" s="277"/>
    </row>
    <row r="24" spans="1:7" ht="20.149999999999999" customHeight="1">
      <c r="A24" s="277"/>
      <c r="B24" s="277"/>
      <c r="C24" s="303" t="s">
        <v>511</v>
      </c>
      <c r="D24" s="307" t="e">
        <f>MROUND(D10*D23, 100)</f>
        <v>#N/A</v>
      </c>
      <c r="E24" s="305" t="s">
        <v>503</v>
      </c>
      <c r="F24" s="306"/>
      <c r="G24" s="277"/>
    </row>
    <row r="25" spans="1:7" ht="20.149999999999999" customHeight="1">
      <c r="A25" s="277"/>
      <c r="B25" s="277"/>
      <c r="C25" s="303" t="s">
        <v>543</v>
      </c>
      <c r="D25" s="308" t="e">
        <f>MROUND(D24*10,1000)</f>
        <v>#N/A</v>
      </c>
      <c r="E25" s="305" t="s">
        <v>482</v>
      </c>
      <c r="F25" s="306"/>
      <c r="G25" s="280"/>
    </row>
    <row r="26" spans="1:7" ht="20.149999999999999" customHeight="1">
      <c r="A26" s="277"/>
      <c r="B26" s="277"/>
      <c r="C26" s="303" t="s">
        <v>513</v>
      </c>
      <c r="D26" s="308" t="e">
        <f>((VLOOKUP(D9,'Talking Points'!A1:F52,3,FALSE))*(D17/1000)+(D18*'Talking Points'!J11))</f>
        <v>#N/A</v>
      </c>
      <c r="E26" s="305" t="s">
        <v>508</v>
      </c>
      <c r="F26" s="306"/>
      <c r="G26" s="280"/>
    </row>
    <row r="27" spans="1:7" ht="20.149999999999999" customHeight="1">
      <c r="A27" s="277"/>
      <c r="B27" s="277"/>
      <c r="C27" s="303" t="s">
        <v>538</v>
      </c>
      <c r="D27" s="308" t="e">
        <f>((VLOOKUP(D9, 'Talking Points'!A1:E52,4,FALSE))*(D17/1000))+(D18*'Talking Points'!J9)</f>
        <v>#N/A</v>
      </c>
      <c r="E27" s="305" t="s">
        <v>508</v>
      </c>
      <c r="F27" s="306"/>
      <c r="G27" s="277"/>
    </row>
    <row r="28" spans="1:7" ht="20.149999999999999" customHeight="1">
      <c r="A28" s="277"/>
      <c r="B28" s="277"/>
      <c r="C28" s="303" t="s">
        <v>514</v>
      </c>
      <c r="D28" s="308" t="e">
        <f>((VLOOKUP(D9, 'Talking Points'!A1:E52,5,FALSE))*(D17/1000))+(D18*'Talking Points'!J10)</f>
        <v>#N/A</v>
      </c>
      <c r="E28" s="305" t="s">
        <v>508</v>
      </c>
      <c r="F28" s="306"/>
      <c r="G28" s="277"/>
    </row>
    <row r="29" spans="1:7" ht="20.149999999999999" customHeight="1">
      <c r="A29" s="277"/>
      <c r="B29" s="277"/>
      <c r="C29" s="303" t="s">
        <v>506</v>
      </c>
      <c r="D29" s="308" t="e">
        <f>((VLOOKUP(D9, 'Talking Points'!A1:G52,7,FALSE))*D17)/100</f>
        <v>#N/A</v>
      </c>
      <c r="E29" s="305" t="s">
        <v>503</v>
      </c>
      <c r="F29" s="306"/>
      <c r="G29" s="277"/>
    </row>
    <row r="30" spans="1:7" ht="27" customHeight="1">
      <c r="A30" s="277"/>
      <c r="B30" s="277"/>
      <c r="C30" s="309" t="s">
        <v>545</v>
      </c>
      <c r="D30" s="310">
        <f>VLOOKUP(D9,'Talking Points'!A2:B52,2,FALSE)</f>
        <v>0.22</v>
      </c>
      <c r="E30" s="305" t="s">
        <v>544</v>
      </c>
      <c r="F30" s="306"/>
      <c r="G30" s="277"/>
    </row>
    <row r="31" spans="1:7" ht="27" customHeight="1">
      <c r="A31" s="277"/>
      <c r="B31" s="277"/>
      <c r="C31" s="309" t="s">
        <v>509</v>
      </c>
      <c r="D31" s="310">
        <f>INDEX(test!BC:BC,MATCH(D11,test!BA:BA,0))</f>
        <v>7.6627218934911173E-2</v>
      </c>
      <c r="E31" s="305"/>
      <c r="F31" s="306"/>
      <c r="G31" s="277"/>
    </row>
    <row r="32" spans="1:7" ht="20.149999999999999" customHeight="1">
      <c r="A32" s="277"/>
      <c r="B32" s="277"/>
      <c r="C32" s="311" t="s">
        <v>549</v>
      </c>
      <c r="D32" s="312" t="e">
        <f>IF(D14&gt;0,D14,0)</f>
        <v>#N/A</v>
      </c>
      <c r="E32" s="313"/>
      <c r="F32" s="314"/>
      <c r="G32" s="277"/>
    </row>
    <row r="33" spans="1:7" ht="20.149999999999999" customHeight="1">
      <c r="A33" s="277"/>
      <c r="B33" s="277"/>
      <c r="C33" s="311" t="s">
        <v>546</v>
      </c>
      <c r="D33" s="315" t="e">
        <f>Key!G23</f>
        <v>#N/A</v>
      </c>
      <c r="E33" s="313"/>
      <c r="F33" s="314"/>
      <c r="G33" s="277"/>
    </row>
    <row r="34" spans="1:7" ht="20.149999999999999" customHeight="1">
      <c r="A34" s="277"/>
      <c r="B34" s="277"/>
      <c r="C34" s="311" t="s">
        <v>556</v>
      </c>
      <c r="D34" s="316" t="e">
        <f>MROUND(Key!H23,1000)</f>
        <v>#N/A</v>
      </c>
      <c r="E34" s="313" t="s">
        <v>477</v>
      </c>
      <c r="F34" s="314"/>
      <c r="G34" s="277"/>
    </row>
    <row r="35" spans="1:7" ht="20.149999999999999" customHeight="1">
      <c r="A35" s="277"/>
      <c r="B35" s="277"/>
      <c r="C35" s="317" t="s">
        <v>539</v>
      </c>
      <c r="D35" s="308" t="e">
        <f>MROUND(D17, 100)</f>
        <v>#N/A</v>
      </c>
      <c r="E35" s="318" t="s">
        <v>478</v>
      </c>
      <c r="F35" s="319"/>
      <c r="G35" s="277"/>
    </row>
    <row r="36" spans="1:7" ht="20.149999999999999" customHeight="1">
      <c r="A36" s="277"/>
      <c r="B36" s="277"/>
      <c r="C36" s="311" t="s">
        <v>540</v>
      </c>
      <c r="D36" s="316">
        <f>MROUND(D18, 100)</f>
        <v>0</v>
      </c>
      <c r="E36" s="313" t="s">
        <v>479</v>
      </c>
      <c r="F36" s="287"/>
      <c r="G36" s="277"/>
    </row>
    <row r="37" spans="1:7" ht="20.149999999999999" customHeight="1" thickBot="1">
      <c r="A37" s="277"/>
      <c r="B37" s="277"/>
      <c r="C37" s="320" t="s">
        <v>553</v>
      </c>
      <c r="D37" s="321">
        <f>VLOOKUP(D9,'Talking Points'!A2:H52,8,FALSE)</f>
        <v>105.54</v>
      </c>
      <c r="E37" s="322" t="s">
        <v>554</v>
      </c>
      <c r="F37" s="323"/>
      <c r="G37" s="277"/>
    </row>
    <row r="38" spans="1:7">
      <c r="A38" s="277"/>
      <c r="B38" s="277"/>
      <c r="C38" s="277"/>
      <c r="D38" s="278"/>
      <c r="E38" s="277"/>
      <c r="F38" s="277"/>
      <c r="G38" s="277"/>
    </row>
    <row r="39" spans="1:7">
      <c r="A39" s="277"/>
      <c r="B39" s="277"/>
      <c r="C39" s="277"/>
      <c r="D39" s="278"/>
      <c r="E39" s="277"/>
      <c r="F39" s="277"/>
      <c r="G39" s="277"/>
    </row>
    <row r="40" spans="1:7">
      <c r="A40" s="277"/>
      <c r="B40" s="277"/>
      <c r="C40" s="277"/>
      <c r="D40" s="278"/>
      <c r="E40" s="277"/>
      <c r="F40" s="277"/>
      <c r="G40" s="277"/>
    </row>
  </sheetData>
  <sortState ref="C8:D8">
    <sortCondition ref="D8"/>
  </sortState>
  <mergeCells count="5">
    <mergeCell ref="A7:B8"/>
    <mergeCell ref="C22:F22"/>
    <mergeCell ref="C3:F3"/>
    <mergeCell ref="C6:F6"/>
    <mergeCell ref="C12:F12"/>
  </mergeCells>
  <dataValidations count="1">
    <dataValidation showDropDown="1" showInputMessage="1" showErrorMessage="1" sqref="D10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'Talking Points'!$A$2:$A$52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R353"/>
  <sheetViews>
    <sheetView workbookViewId="0">
      <selection activeCell="G35" sqref="G35"/>
    </sheetView>
  </sheetViews>
  <sheetFormatPr defaultColWidth="8.90625" defaultRowHeight="14.5"/>
  <cols>
    <col min="3" max="3" width="9.08984375" style="272"/>
    <col min="4" max="4" width="9.08984375" style="271"/>
    <col min="10" max="10" width="12" bestFit="1" customWidth="1"/>
  </cols>
  <sheetData>
    <row r="1" spans="1:18">
      <c r="B1" t="s">
        <v>555</v>
      </c>
      <c r="C1" s="272" t="s">
        <v>528</v>
      </c>
      <c r="D1" s="271" t="s">
        <v>527</v>
      </c>
      <c r="E1" t="s">
        <v>526</v>
      </c>
      <c r="F1" t="s">
        <v>510</v>
      </c>
      <c r="G1" t="s">
        <v>548</v>
      </c>
      <c r="H1" t="s">
        <v>552</v>
      </c>
      <c r="I1" t="s">
        <v>547</v>
      </c>
    </row>
    <row r="2" spans="1:18" ht="15" thickBot="1">
      <c r="A2" s="268" t="s">
        <v>309</v>
      </c>
      <c r="B2">
        <v>0.22</v>
      </c>
      <c r="C2" s="273">
        <v>0.1</v>
      </c>
      <c r="D2" s="271">
        <v>0.91</v>
      </c>
      <c r="E2">
        <v>1502</v>
      </c>
      <c r="F2" t="s">
        <v>515</v>
      </c>
      <c r="G2">
        <v>4.0199999999999996</v>
      </c>
      <c r="H2">
        <v>105.54</v>
      </c>
      <c r="I2" t="s">
        <v>529</v>
      </c>
      <c r="R2" s="166"/>
    </row>
    <row r="3" spans="1:18">
      <c r="A3" s="264" t="s">
        <v>438</v>
      </c>
      <c r="B3">
        <v>0.09</v>
      </c>
      <c r="C3" s="274" t="s">
        <v>521</v>
      </c>
      <c r="D3" s="270" t="s">
        <v>521</v>
      </c>
      <c r="E3" t="s">
        <v>521</v>
      </c>
      <c r="H3" t="s">
        <v>521</v>
      </c>
      <c r="I3" t="s">
        <v>530</v>
      </c>
      <c r="J3">
        <v>50</v>
      </c>
      <c r="R3" s="166"/>
    </row>
    <row r="4" spans="1:18">
      <c r="A4" s="266" t="s">
        <v>321</v>
      </c>
      <c r="B4">
        <v>0.3</v>
      </c>
      <c r="C4" s="274">
        <v>7.0000000000000007E-2</v>
      </c>
      <c r="D4" s="270">
        <v>0.96</v>
      </c>
      <c r="E4">
        <v>1317</v>
      </c>
      <c r="F4" t="s">
        <v>516</v>
      </c>
      <c r="G4">
        <v>1.62</v>
      </c>
      <c r="H4">
        <v>8.59</v>
      </c>
      <c r="I4" t="s">
        <v>531</v>
      </c>
      <c r="J4">
        <v>120000</v>
      </c>
      <c r="R4" s="166"/>
    </row>
    <row r="5" spans="1:18">
      <c r="A5" s="265" t="s">
        <v>304</v>
      </c>
      <c r="B5">
        <v>0.43</v>
      </c>
      <c r="C5" s="273">
        <v>0.1</v>
      </c>
      <c r="D5" s="271">
        <v>0.91</v>
      </c>
      <c r="E5">
        <v>1502</v>
      </c>
      <c r="F5" t="s">
        <v>515</v>
      </c>
      <c r="G5">
        <v>4.0199999999999996</v>
      </c>
      <c r="H5">
        <v>98.39</v>
      </c>
      <c r="I5" t="s">
        <v>532</v>
      </c>
      <c r="J5">
        <v>7.6</v>
      </c>
      <c r="R5" s="166"/>
    </row>
    <row r="6" spans="1:18">
      <c r="A6" s="265" t="s">
        <v>69</v>
      </c>
      <c r="B6">
        <v>0</v>
      </c>
      <c r="C6" s="274">
        <v>0.05</v>
      </c>
      <c r="D6" s="270">
        <v>0.33</v>
      </c>
      <c r="E6">
        <v>1087</v>
      </c>
      <c r="F6" t="s">
        <v>517</v>
      </c>
      <c r="G6">
        <v>1.08</v>
      </c>
      <c r="H6">
        <v>4.4800000000000004</v>
      </c>
      <c r="I6" t="s">
        <v>533</v>
      </c>
      <c r="R6" s="166"/>
    </row>
    <row r="7" spans="1:18">
      <c r="A7" s="266" t="s">
        <v>81</v>
      </c>
      <c r="B7">
        <v>0.54</v>
      </c>
      <c r="C7" s="274">
        <v>0.04</v>
      </c>
      <c r="D7" s="270">
        <v>1.37</v>
      </c>
      <c r="E7">
        <v>1672</v>
      </c>
      <c r="F7" t="s">
        <v>518</v>
      </c>
      <c r="G7">
        <v>2.3199999999999998</v>
      </c>
      <c r="H7">
        <v>16.559999999999999</v>
      </c>
      <c r="R7" s="166"/>
    </row>
    <row r="8" spans="1:18">
      <c r="A8" s="265" t="s">
        <v>422</v>
      </c>
      <c r="B8">
        <v>0.01</v>
      </c>
      <c r="C8" s="274">
        <v>0.04</v>
      </c>
      <c r="D8" s="270">
        <v>0.42</v>
      </c>
      <c r="E8">
        <v>1114</v>
      </c>
      <c r="F8" t="s">
        <v>519</v>
      </c>
      <c r="G8">
        <v>3.73</v>
      </c>
      <c r="H8">
        <v>75.040000000000006</v>
      </c>
      <c r="I8" t="s">
        <v>534</v>
      </c>
      <c r="R8" s="166"/>
    </row>
    <row r="9" spans="1:18">
      <c r="A9" s="266" t="s">
        <v>421</v>
      </c>
      <c r="B9">
        <v>0.05</v>
      </c>
      <c r="C9" s="274">
        <v>0.21</v>
      </c>
      <c r="D9" s="270">
        <v>0.97</v>
      </c>
      <c r="E9">
        <v>1675</v>
      </c>
      <c r="F9" t="s">
        <v>520</v>
      </c>
      <c r="G9">
        <v>7.95</v>
      </c>
      <c r="H9">
        <v>103.42</v>
      </c>
      <c r="I9" t="s">
        <v>535</v>
      </c>
      <c r="J9">
        <f>(J3/1000000)/1.037</f>
        <v>4.8216007714561243E-5</v>
      </c>
      <c r="R9" s="166"/>
    </row>
    <row r="10" spans="1:18">
      <c r="A10" s="265" t="s">
        <v>428</v>
      </c>
      <c r="B10" t="s">
        <v>521</v>
      </c>
      <c r="C10" s="274">
        <v>0.21</v>
      </c>
      <c r="D10" s="270">
        <v>0.97</v>
      </c>
      <c r="E10">
        <v>1675</v>
      </c>
      <c r="F10" t="s">
        <v>520</v>
      </c>
      <c r="G10">
        <v>7.95</v>
      </c>
      <c r="H10">
        <v>63.3</v>
      </c>
      <c r="I10" t="s">
        <v>536</v>
      </c>
      <c r="J10">
        <f>(J4/1000000)/1.037</f>
        <v>0.11571841851494696</v>
      </c>
      <c r="R10" s="166"/>
    </row>
    <row r="11" spans="1:18">
      <c r="A11" s="265" t="s">
        <v>363</v>
      </c>
      <c r="B11">
        <v>0.16</v>
      </c>
      <c r="C11" s="273">
        <v>0.1</v>
      </c>
      <c r="D11" s="271">
        <v>0.91</v>
      </c>
      <c r="E11">
        <v>1502</v>
      </c>
      <c r="F11" t="s">
        <v>515</v>
      </c>
      <c r="G11">
        <v>4.0199999999999996</v>
      </c>
      <c r="H11">
        <v>42.71</v>
      </c>
      <c r="I11" t="s">
        <v>537</v>
      </c>
      <c r="J11">
        <f>(J5/1000000)/1.037</f>
        <v>7.3288331726133074E-6</v>
      </c>
      <c r="R11" s="166"/>
    </row>
    <row r="12" spans="1:18">
      <c r="A12" s="266" t="s">
        <v>429</v>
      </c>
      <c r="B12">
        <v>0.25</v>
      </c>
      <c r="C12" s="273">
        <v>0.1</v>
      </c>
      <c r="D12" s="271">
        <v>0.91</v>
      </c>
      <c r="E12">
        <v>1502</v>
      </c>
      <c r="F12" t="s">
        <v>515</v>
      </c>
      <c r="G12">
        <v>4.0199999999999996</v>
      </c>
      <c r="H12">
        <v>57.41</v>
      </c>
      <c r="R12" s="166"/>
    </row>
    <row r="13" spans="1:18">
      <c r="A13" s="265" t="s">
        <v>439</v>
      </c>
      <c r="B13">
        <v>0.14000000000000001</v>
      </c>
      <c r="C13" s="274" t="s">
        <v>521</v>
      </c>
      <c r="D13" s="270" t="s">
        <v>521</v>
      </c>
      <c r="E13" t="s">
        <v>521</v>
      </c>
      <c r="H13" t="s">
        <v>521</v>
      </c>
      <c r="R13" s="166"/>
    </row>
    <row r="14" spans="1:18">
      <c r="A14" s="266" t="s">
        <v>440</v>
      </c>
      <c r="B14">
        <v>0</v>
      </c>
      <c r="C14" s="274">
        <v>0.08</v>
      </c>
      <c r="D14" s="270">
        <v>1.25</v>
      </c>
      <c r="E14">
        <v>1635</v>
      </c>
      <c r="F14" t="s">
        <v>522</v>
      </c>
      <c r="G14">
        <v>2.5499999999999998</v>
      </c>
      <c r="H14">
        <v>8.0500000000000007</v>
      </c>
      <c r="R14" s="166"/>
    </row>
    <row r="15" spans="1:18">
      <c r="A15" s="266" t="s">
        <v>120</v>
      </c>
      <c r="B15">
        <v>0.32</v>
      </c>
      <c r="C15" s="274">
        <v>0.1</v>
      </c>
      <c r="D15" s="270">
        <v>1.35</v>
      </c>
      <c r="E15">
        <v>1965</v>
      </c>
      <c r="F15" t="s">
        <v>523</v>
      </c>
      <c r="G15">
        <v>7.06</v>
      </c>
      <c r="H15">
        <v>86.87</v>
      </c>
      <c r="R15" s="166"/>
    </row>
    <row r="16" spans="1:18">
      <c r="A16" s="265" t="s">
        <v>349</v>
      </c>
      <c r="B16">
        <v>0.73</v>
      </c>
      <c r="C16" s="274">
        <v>0.21</v>
      </c>
      <c r="D16" s="270">
        <v>0.97</v>
      </c>
      <c r="E16">
        <v>1675</v>
      </c>
      <c r="F16" t="s">
        <v>520</v>
      </c>
      <c r="G16">
        <v>7.95</v>
      </c>
      <c r="H16">
        <v>128.41999999999999</v>
      </c>
      <c r="R16" s="166"/>
    </row>
    <row r="17" spans="1:18">
      <c r="A17" s="266" t="s">
        <v>431</v>
      </c>
      <c r="B17">
        <v>0.44</v>
      </c>
      <c r="C17" s="274">
        <v>0.1</v>
      </c>
      <c r="D17" s="270">
        <v>1.35</v>
      </c>
      <c r="E17">
        <v>1965</v>
      </c>
      <c r="F17" t="s">
        <v>523</v>
      </c>
      <c r="G17">
        <v>7.06</v>
      </c>
      <c r="H17">
        <v>79.599999999999994</v>
      </c>
      <c r="R17" s="166"/>
    </row>
    <row r="18" spans="1:18">
      <c r="A18" s="265" t="s">
        <v>139</v>
      </c>
      <c r="B18">
        <v>0.38</v>
      </c>
      <c r="C18" s="274">
        <v>0.1</v>
      </c>
      <c r="D18" s="270">
        <v>1.18</v>
      </c>
      <c r="E18">
        <v>1813</v>
      </c>
      <c r="F18" t="s">
        <v>524</v>
      </c>
      <c r="G18">
        <v>5.23</v>
      </c>
      <c r="H18">
        <v>52.73</v>
      </c>
      <c r="R18" s="166"/>
    </row>
    <row r="19" spans="1:18">
      <c r="A19" s="266" t="s">
        <v>186</v>
      </c>
      <c r="B19">
        <v>0.78</v>
      </c>
      <c r="C19" s="273">
        <v>0.1</v>
      </c>
      <c r="D19" s="271">
        <v>0.91</v>
      </c>
      <c r="E19">
        <v>1502</v>
      </c>
      <c r="F19" t="s">
        <v>515</v>
      </c>
      <c r="G19">
        <v>4.0199999999999996</v>
      </c>
      <c r="H19">
        <v>147.77000000000001</v>
      </c>
      <c r="R19" s="166"/>
    </row>
    <row r="20" spans="1:18">
      <c r="A20" s="266" t="s">
        <v>101</v>
      </c>
      <c r="B20">
        <v>0.13</v>
      </c>
      <c r="C20" s="273">
        <v>0.1</v>
      </c>
      <c r="D20" s="271">
        <v>0.91</v>
      </c>
      <c r="E20">
        <v>1502</v>
      </c>
      <c r="F20" t="s">
        <v>515</v>
      </c>
      <c r="G20">
        <v>4.0199999999999996</v>
      </c>
      <c r="H20">
        <v>70.87</v>
      </c>
      <c r="R20" s="166"/>
    </row>
    <row r="21" spans="1:18">
      <c r="A21" s="266" t="s">
        <v>420</v>
      </c>
      <c r="B21">
        <v>0.01</v>
      </c>
      <c r="C21" s="274">
        <v>0.04</v>
      </c>
      <c r="D21" s="270">
        <v>0.42</v>
      </c>
      <c r="E21">
        <v>1114</v>
      </c>
      <c r="F21" t="s">
        <v>519</v>
      </c>
      <c r="G21">
        <v>3.73</v>
      </c>
      <c r="H21">
        <v>57.95</v>
      </c>
      <c r="R21" s="166"/>
    </row>
    <row r="22" spans="1:18">
      <c r="A22" s="266" t="s">
        <v>82</v>
      </c>
      <c r="B22">
        <v>0.25</v>
      </c>
      <c r="C22" s="274">
        <v>0.21</v>
      </c>
      <c r="D22" s="270">
        <v>0.97</v>
      </c>
      <c r="E22">
        <v>1675</v>
      </c>
      <c r="F22" t="s">
        <v>520</v>
      </c>
      <c r="G22">
        <v>7.95</v>
      </c>
      <c r="H22">
        <v>86.54</v>
      </c>
      <c r="R22" s="166"/>
    </row>
    <row r="23" spans="1:18">
      <c r="A23" s="266" t="s">
        <v>427</v>
      </c>
      <c r="B23">
        <v>0.04</v>
      </c>
      <c r="C23" s="274">
        <v>0.04</v>
      </c>
      <c r="D23" s="270">
        <v>0.42</v>
      </c>
      <c r="E23">
        <v>1114</v>
      </c>
      <c r="F23" t="s">
        <v>519</v>
      </c>
      <c r="G23">
        <v>3.73</v>
      </c>
      <c r="H23">
        <v>47.4</v>
      </c>
      <c r="R23" s="166"/>
    </row>
    <row r="24" spans="1:18">
      <c r="A24" s="266" t="s">
        <v>340</v>
      </c>
      <c r="B24">
        <v>0.37</v>
      </c>
      <c r="C24" s="274">
        <v>0.21</v>
      </c>
      <c r="D24" s="270">
        <v>0.97</v>
      </c>
      <c r="E24">
        <v>1675</v>
      </c>
      <c r="F24" t="s">
        <v>520</v>
      </c>
      <c r="G24">
        <v>7.95</v>
      </c>
      <c r="H24">
        <v>104.8</v>
      </c>
      <c r="R24" s="166"/>
    </row>
    <row r="25" spans="1:18">
      <c r="A25" s="265" t="s">
        <v>357</v>
      </c>
      <c r="B25">
        <v>0.39</v>
      </c>
      <c r="C25" s="274">
        <v>0.1</v>
      </c>
      <c r="D25" s="270">
        <v>1.35</v>
      </c>
      <c r="E25">
        <v>1965</v>
      </c>
      <c r="F25" t="s">
        <v>523</v>
      </c>
      <c r="G25">
        <v>7.06</v>
      </c>
      <c r="H25">
        <v>25.54</v>
      </c>
      <c r="R25" s="166"/>
    </row>
    <row r="26" spans="1:18">
      <c r="A26" s="265" t="s">
        <v>430</v>
      </c>
      <c r="B26">
        <v>0.08</v>
      </c>
      <c r="C26" s="273">
        <v>0.1</v>
      </c>
      <c r="D26" s="271">
        <v>0.91</v>
      </c>
      <c r="E26">
        <v>1502</v>
      </c>
      <c r="F26" t="s">
        <v>515</v>
      </c>
      <c r="G26">
        <v>4.0199999999999996</v>
      </c>
      <c r="H26">
        <v>88.88</v>
      </c>
      <c r="R26" s="166"/>
    </row>
    <row r="27" spans="1:18">
      <c r="A27" s="266" t="s">
        <v>319</v>
      </c>
      <c r="B27">
        <v>0.8</v>
      </c>
      <c r="C27" s="274">
        <v>0.1</v>
      </c>
      <c r="D27" s="270">
        <v>1.35</v>
      </c>
      <c r="E27">
        <v>1965</v>
      </c>
      <c r="F27" t="s">
        <v>523</v>
      </c>
      <c r="G27">
        <v>7.06</v>
      </c>
      <c r="H27">
        <v>89.18</v>
      </c>
      <c r="R27" s="166"/>
    </row>
    <row r="28" spans="1:18">
      <c r="A28" s="265" t="s">
        <v>441</v>
      </c>
      <c r="B28">
        <v>0.49</v>
      </c>
      <c r="C28" s="274">
        <v>0.08</v>
      </c>
      <c r="D28" s="270">
        <v>1.25</v>
      </c>
      <c r="E28">
        <v>1635</v>
      </c>
      <c r="F28" t="s">
        <v>522</v>
      </c>
      <c r="G28">
        <v>2.5499999999999998</v>
      </c>
      <c r="H28">
        <v>17.53</v>
      </c>
      <c r="R28" s="166"/>
    </row>
    <row r="29" spans="1:18">
      <c r="A29" s="265" t="s">
        <v>435</v>
      </c>
      <c r="B29">
        <v>0.6</v>
      </c>
      <c r="C29" s="274">
        <v>0.1</v>
      </c>
      <c r="D29" s="270">
        <v>1.35</v>
      </c>
      <c r="E29">
        <v>1965</v>
      </c>
      <c r="F29" t="s">
        <v>523</v>
      </c>
      <c r="G29">
        <v>7.06</v>
      </c>
      <c r="H29">
        <v>47.38</v>
      </c>
      <c r="R29" s="166"/>
    </row>
    <row r="30" spans="1:18">
      <c r="A30" s="266" t="s">
        <v>436</v>
      </c>
      <c r="B30">
        <v>0.05</v>
      </c>
      <c r="C30" s="274">
        <v>7.0000000000000007E-2</v>
      </c>
      <c r="D30" s="270">
        <v>0.96</v>
      </c>
      <c r="E30">
        <v>1317</v>
      </c>
      <c r="F30" t="s">
        <v>516</v>
      </c>
      <c r="G30">
        <v>1.62</v>
      </c>
      <c r="H30">
        <v>9.2200000000000006</v>
      </c>
      <c r="R30" s="166"/>
    </row>
    <row r="31" spans="1:18">
      <c r="A31" s="265" t="s">
        <v>423</v>
      </c>
      <c r="B31">
        <v>0.02</v>
      </c>
      <c r="C31" s="274">
        <v>0.04</v>
      </c>
      <c r="D31" s="270">
        <v>0.42</v>
      </c>
      <c r="E31">
        <v>1114</v>
      </c>
      <c r="F31" t="s">
        <v>519</v>
      </c>
      <c r="G31">
        <v>3.73</v>
      </c>
      <c r="H31">
        <v>60.17</v>
      </c>
      <c r="R31" s="166"/>
    </row>
    <row r="32" spans="1:18">
      <c r="A32" s="266" t="s">
        <v>424</v>
      </c>
      <c r="B32">
        <v>0.02</v>
      </c>
      <c r="C32" s="274">
        <v>0.21</v>
      </c>
      <c r="D32" s="270">
        <v>0.97</v>
      </c>
      <c r="E32">
        <v>1675</v>
      </c>
      <c r="F32" t="s">
        <v>520</v>
      </c>
      <c r="G32">
        <v>7.95</v>
      </c>
      <c r="H32">
        <v>79.819999999999993</v>
      </c>
      <c r="R32" s="166"/>
    </row>
    <row r="33" spans="1:18">
      <c r="A33" s="265" t="s">
        <v>434</v>
      </c>
      <c r="B33">
        <v>0.55000000000000004</v>
      </c>
      <c r="C33" s="274">
        <v>7.0000000000000007E-2</v>
      </c>
      <c r="D33" s="270">
        <v>0.96</v>
      </c>
      <c r="E33">
        <v>1317</v>
      </c>
      <c r="F33" t="s">
        <v>516</v>
      </c>
      <c r="G33">
        <v>1.62</v>
      </c>
      <c r="H33">
        <v>16.75</v>
      </c>
      <c r="R33" s="166"/>
    </row>
    <row r="34" spans="1:18">
      <c r="A34" s="265" t="s">
        <v>216</v>
      </c>
      <c r="B34">
        <v>0.01</v>
      </c>
      <c r="C34" s="274">
        <v>0.04</v>
      </c>
      <c r="D34" s="270">
        <v>0.42</v>
      </c>
      <c r="E34">
        <v>1114</v>
      </c>
      <c r="F34" t="s">
        <v>519</v>
      </c>
      <c r="G34">
        <v>3.73</v>
      </c>
      <c r="H34">
        <v>83.97</v>
      </c>
      <c r="R34" s="166"/>
    </row>
    <row r="35" spans="1:18">
      <c r="A35" s="265" t="s">
        <v>107</v>
      </c>
      <c r="B35">
        <v>0.27</v>
      </c>
      <c r="C35" s="273">
        <v>0.1</v>
      </c>
      <c r="D35" s="271">
        <v>0.91</v>
      </c>
      <c r="E35">
        <v>1502</v>
      </c>
      <c r="F35" t="s">
        <v>515</v>
      </c>
      <c r="G35">
        <v>4.0199999999999996</v>
      </c>
      <c r="H35">
        <v>76.599999999999994</v>
      </c>
      <c r="R35" s="166"/>
    </row>
    <row r="36" spans="1:18">
      <c r="A36" s="266" t="s">
        <v>432</v>
      </c>
      <c r="B36">
        <v>0.64</v>
      </c>
      <c r="C36" s="274">
        <v>0.1</v>
      </c>
      <c r="D36" s="270">
        <v>1.35</v>
      </c>
      <c r="E36">
        <v>1965</v>
      </c>
      <c r="F36" t="s">
        <v>523</v>
      </c>
      <c r="G36">
        <v>7.06</v>
      </c>
      <c r="H36">
        <v>24.25</v>
      </c>
      <c r="R36" s="166"/>
    </row>
    <row r="37" spans="1:18">
      <c r="A37" s="265" t="s">
        <v>91</v>
      </c>
      <c r="B37">
        <v>0.56999999999999995</v>
      </c>
      <c r="C37" s="274">
        <v>0.21</v>
      </c>
      <c r="D37" s="270">
        <v>0.97</v>
      </c>
      <c r="E37">
        <v>1675</v>
      </c>
      <c r="F37" t="s">
        <v>520</v>
      </c>
      <c r="G37">
        <v>7.95</v>
      </c>
      <c r="H37">
        <v>137.24</v>
      </c>
      <c r="R37" s="166"/>
    </row>
    <row r="38" spans="1:18">
      <c r="A38" s="266" t="s">
        <v>320</v>
      </c>
      <c r="B38">
        <v>0.24</v>
      </c>
      <c r="C38" s="274">
        <v>0.1</v>
      </c>
      <c r="D38" s="270">
        <v>1.18</v>
      </c>
      <c r="E38">
        <v>1813</v>
      </c>
      <c r="F38" t="s">
        <v>524</v>
      </c>
      <c r="G38">
        <v>5.23</v>
      </c>
      <c r="H38">
        <v>67.02</v>
      </c>
      <c r="R38" s="166"/>
    </row>
    <row r="39" spans="1:18">
      <c r="A39" s="266" t="s">
        <v>71</v>
      </c>
      <c r="B39">
        <v>0.03</v>
      </c>
      <c r="C39" s="274">
        <v>0.08</v>
      </c>
      <c r="D39" s="270">
        <v>1.25</v>
      </c>
      <c r="E39">
        <v>1635</v>
      </c>
      <c r="F39" t="s">
        <v>522</v>
      </c>
      <c r="G39">
        <v>2.5499999999999998</v>
      </c>
      <c r="H39">
        <v>5.71</v>
      </c>
      <c r="R39" s="166"/>
    </row>
    <row r="40" spans="1:18">
      <c r="A40" s="265" t="s">
        <v>51</v>
      </c>
      <c r="B40">
        <v>0.22</v>
      </c>
      <c r="C40" s="274">
        <v>0.21</v>
      </c>
      <c r="D40" s="270">
        <v>0.97</v>
      </c>
      <c r="E40">
        <v>1675</v>
      </c>
      <c r="F40" t="s">
        <v>520</v>
      </c>
      <c r="G40">
        <v>7.95</v>
      </c>
      <c r="H40">
        <v>139.87</v>
      </c>
      <c r="R40" s="166"/>
    </row>
    <row r="41" spans="1:18">
      <c r="A41" s="266" t="s">
        <v>453</v>
      </c>
      <c r="B41">
        <v>0</v>
      </c>
      <c r="C41" s="274">
        <v>0.04</v>
      </c>
      <c r="D41" s="270">
        <v>0.42</v>
      </c>
      <c r="E41">
        <v>1114</v>
      </c>
      <c r="F41" t="s">
        <v>519</v>
      </c>
      <c r="G41">
        <v>3.73</v>
      </c>
      <c r="H41">
        <v>72.48</v>
      </c>
      <c r="R41" s="166"/>
    </row>
    <row r="42" spans="1:18">
      <c r="A42" s="266" t="s">
        <v>235</v>
      </c>
      <c r="B42">
        <v>0.2</v>
      </c>
      <c r="C42" s="273">
        <v>0.1</v>
      </c>
      <c r="D42" s="271">
        <v>0.91</v>
      </c>
      <c r="E42">
        <v>1502</v>
      </c>
      <c r="F42" t="s">
        <v>515</v>
      </c>
      <c r="G42">
        <v>4.0199999999999996</v>
      </c>
      <c r="H42">
        <v>78.680000000000007</v>
      </c>
      <c r="R42" s="166"/>
    </row>
    <row r="43" spans="1:18">
      <c r="A43" s="265" t="s">
        <v>433</v>
      </c>
      <c r="B43">
        <v>0.19</v>
      </c>
      <c r="C43" s="274">
        <v>0.1</v>
      </c>
      <c r="D43" s="270">
        <v>1.35</v>
      </c>
      <c r="E43">
        <v>1965</v>
      </c>
      <c r="F43" t="s">
        <v>523</v>
      </c>
      <c r="G43">
        <v>7.06</v>
      </c>
      <c r="H43">
        <v>41.25</v>
      </c>
      <c r="R43" s="166"/>
    </row>
    <row r="44" spans="1:18">
      <c r="A44" s="265" t="s">
        <v>206</v>
      </c>
      <c r="B44">
        <v>0.35</v>
      </c>
      <c r="C44" s="273">
        <v>0.1</v>
      </c>
      <c r="D44" s="271">
        <v>0.91</v>
      </c>
      <c r="E44">
        <v>1502</v>
      </c>
      <c r="F44" t="s">
        <v>515</v>
      </c>
      <c r="G44">
        <v>4.0199999999999996</v>
      </c>
      <c r="H44">
        <v>123.86</v>
      </c>
      <c r="R44" s="166"/>
    </row>
    <row r="45" spans="1:18">
      <c r="A45" s="265" t="s">
        <v>57</v>
      </c>
      <c r="B45">
        <v>0.3</v>
      </c>
      <c r="C45" s="274">
        <v>0.08</v>
      </c>
      <c r="D45" s="270">
        <v>0.65</v>
      </c>
      <c r="E45">
        <v>1387</v>
      </c>
      <c r="F45" t="s">
        <v>525</v>
      </c>
      <c r="G45">
        <v>3.58</v>
      </c>
      <c r="H45">
        <v>38.67</v>
      </c>
      <c r="R45" s="166"/>
    </row>
    <row r="46" spans="1:18">
      <c r="A46" s="265" t="s">
        <v>437</v>
      </c>
      <c r="B46">
        <v>0.71</v>
      </c>
      <c r="C46" s="274">
        <v>0.08</v>
      </c>
      <c r="D46" s="270">
        <v>1.25</v>
      </c>
      <c r="E46">
        <v>1635</v>
      </c>
      <c r="F46" t="s">
        <v>522</v>
      </c>
      <c r="G46">
        <v>2.5499999999999998</v>
      </c>
      <c r="H46">
        <v>7.58</v>
      </c>
      <c r="R46" s="166"/>
    </row>
    <row r="47" spans="1:18">
      <c r="A47" s="265" t="s">
        <v>426</v>
      </c>
      <c r="B47">
        <v>0</v>
      </c>
      <c r="C47" s="274">
        <v>0.04</v>
      </c>
      <c r="D47" s="270">
        <v>0.42</v>
      </c>
      <c r="E47">
        <v>1114</v>
      </c>
      <c r="F47" t="s">
        <v>519</v>
      </c>
      <c r="G47">
        <v>3.73</v>
      </c>
      <c r="H47">
        <v>79.37</v>
      </c>
      <c r="R47" s="166"/>
    </row>
    <row r="48" spans="1:18">
      <c r="A48" s="266" t="s">
        <v>454</v>
      </c>
      <c r="B48">
        <v>0.12</v>
      </c>
      <c r="C48" s="273">
        <v>0.1</v>
      </c>
      <c r="D48" s="271">
        <v>0.91</v>
      </c>
      <c r="E48">
        <v>1502</v>
      </c>
      <c r="F48" t="s">
        <v>515</v>
      </c>
      <c r="G48">
        <v>4.0199999999999996</v>
      </c>
      <c r="H48">
        <v>89.13</v>
      </c>
      <c r="R48" s="166"/>
    </row>
    <row r="49" spans="1:18">
      <c r="A49" s="265" t="s">
        <v>74</v>
      </c>
      <c r="B49">
        <v>0.05</v>
      </c>
      <c r="C49" s="274">
        <v>0.08</v>
      </c>
      <c r="D49" s="270">
        <v>1.25</v>
      </c>
      <c r="E49">
        <v>1635</v>
      </c>
      <c r="F49" t="s">
        <v>522</v>
      </c>
      <c r="G49">
        <v>2.5499999999999998</v>
      </c>
      <c r="H49">
        <v>6.86</v>
      </c>
      <c r="R49" s="166"/>
    </row>
    <row r="50" spans="1:18">
      <c r="A50" s="265" t="s">
        <v>63</v>
      </c>
      <c r="B50">
        <v>0.93</v>
      </c>
      <c r="C50" s="274">
        <v>0.21</v>
      </c>
      <c r="D50" s="270">
        <v>0.97</v>
      </c>
      <c r="E50">
        <v>1675</v>
      </c>
      <c r="F50" t="s">
        <v>520</v>
      </c>
      <c r="G50">
        <v>7.95</v>
      </c>
      <c r="H50">
        <v>184.11</v>
      </c>
      <c r="R50" s="166"/>
    </row>
    <row r="51" spans="1:18">
      <c r="A51" s="266" t="s">
        <v>114</v>
      </c>
      <c r="B51">
        <v>0.55000000000000004</v>
      </c>
      <c r="C51" s="274">
        <v>0.1</v>
      </c>
      <c r="D51" s="270">
        <v>1.35</v>
      </c>
      <c r="E51">
        <v>1965</v>
      </c>
      <c r="F51" t="s">
        <v>523</v>
      </c>
      <c r="G51">
        <v>7.06</v>
      </c>
      <c r="H51">
        <v>69.84</v>
      </c>
      <c r="R51" s="166"/>
    </row>
    <row r="52" spans="1:18">
      <c r="A52" s="266" t="s">
        <v>442</v>
      </c>
      <c r="B52">
        <v>0.86</v>
      </c>
      <c r="C52" s="274">
        <v>0.08</v>
      </c>
      <c r="D52" s="270">
        <v>1.25</v>
      </c>
      <c r="E52">
        <v>1635</v>
      </c>
      <c r="F52" t="s">
        <v>522</v>
      </c>
      <c r="G52">
        <v>2.5499999999999998</v>
      </c>
      <c r="H52">
        <v>24.34</v>
      </c>
    </row>
    <row r="53" spans="1:18" ht="15" thickBot="1">
      <c r="A53" s="269"/>
      <c r="B53" s="267"/>
      <c r="C53" s="274"/>
      <c r="D53" s="270"/>
    </row>
    <row r="54" spans="1:18">
      <c r="B54" s="267"/>
      <c r="C54" s="274"/>
      <c r="D54" s="270"/>
    </row>
    <row r="55" spans="1:18">
      <c r="B55" s="267"/>
      <c r="C55" s="274"/>
      <c r="D55" s="270"/>
    </row>
    <row r="56" spans="1:18">
      <c r="B56" s="267"/>
      <c r="C56" s="274"/>
      <c r="D56" s="270"/>
    </row>
    <row r="57" spans="1:18">
      <c r="B57" s="267"/>
      <c r="C57" s="274"/>
      <c r="D57" s="270"/>
    </row>
    <row r="58" spans="1:18">
      <c r="B58" s="267"/>
      <c r="C58" s="274"/>
      <c r="D58" s="270"/>
    </row>
    <row r="59" spans="1:18">
      <c r="B59" s="267"/>
      <c r="C59" s="274"/>
      <c r="D59" s="270"/>
    </row>
    <row r="60" spans="1:18">
      <c r="B60" s="267"/>
      <c r="C60" s="274"/>
      <c r="D60" s="270"/>
    </row>
    <row r="61" spans="1:18">
      <c r="B61" s="267"/>
      <c r="C61" s="274"/>
      <c r="D61" s="270"/>
    </row>
    <row r="62" spans="1:18">
      <c r="B62" s="267"/>
      <c r="C62" s="274"/>
      <c r="D62" s="270"/>
    </row>
    <row r="63" spans="1:18">
      <c r="C63" s="274"/>
      <c r="D63" s="270"/>
    </row>
    <row r="64" spans="1:18">
      <c r="C64" s="274"/>
      <c r="D64" s="270"/>
    </row>
    <row r="65" spans="3:4">
      <c r="C65" s="274"/>
      <c r="D65" s="270"/>
    </row>
    <row r="66" spans="3:4">
      <c r="C66" s="274"/>
      <c r="D66" s="270"/>
    </row>
    <row r="67" spans="3:4">
      <c r="C67" s="274"/>
      <c r="D67" s="270"/>
    </row>
    <row r="68" spans="3:4">
      <c r="C68" s="274"/>
      <c r="D68" s="270"/>
    </row>
    <row r="69" spans="3:4">
      <c r="C69" s="274"/>
      <c r="D69" s="270"/>
    </row>
    <row r="70" spans="3:4">
      <c r="C70" s="274"/>
      <c r="D70" s="270"/>
    </row>
    <row r="71" spans="3:4">
      <c r="C71" s="274"/>
      <c r="D71" s="270"/>
    </row>
    <row r="72" spans="3:4">
      <c r="C72" s="274"/>
      <c r="D72" s="270"/>
    </row>
    <row r="73" spans="3:4">
      <c r="C73" s="274"/>
      <c r="D73" s="270"/>
    </row>
    <row r="74" spans="3:4">
      <c r="C74" s="274"/>
      <c r="D74" s="270"/>
    </row>
    <row r="75" spans="3:4">
      <c r="C75" s="274"/>
      <c r="D75" s="270"/>
    </row>
    <row r="76" spans="3:4">
      <c r="C76" s="274"/>
      <c r="D76" s="270"/>
    </row>
    <row r="77" spans="3:4">
      <c r="C77" s="274"/>
      <c r="D77" s="270"/>
    </row>
    <row r="78" spans="3:4">
      <c r="C78" s="274"/>
      <c r="D78" s="270"/>
    </row>
    <row r="79" spans="3:4">
      <c r="C79" s="274"/>
      <c r="D79" s="270"/>
    </row>
    <row r="80" spans="3:4">
      <c r="C80" s="274"/>
      <c r="D80" s="270"/>
    </row>
    <row r="81" spans="3:4">
      <c r="C81" s="274"/>
      <c r="D81" s="270"/>
    </row>
    <row r="82" spans="3:4">
      <c r="C82" s="274"/>
      <c r="D82" s="270"/>
    </row>
    <row r="83" spans="3:4">
      <c r="C83" s="274"/>
      <c r="D83" s="270"/>
    </row>
    <row r="84" spans="3:4">
      <c r="C84" s="274"/>
      <c r="D84" s="270"/>
    </row>
    <row r="85" spans="3:4">
      <c r="C85" s="274"/>
      <c r="D85" s="270"/>
    </row>
    <row r="86" spans="3:4">
      <c r="C86" s="274"/>
      <c r="D86" s="270"/>
    </row>
    <row r="87" spans="3:4">
      <c r="C87" s="274"/>
      <c r="D87" s="270"/>
    </row>
    <row r="88" spans="3:4">
      <c r="C88" s="274"/>
      <c r="D88" s="270"/>
    </row>
    <row r="89" spans="3:4">
      <c r="C89" s="274"/>
      <c r="D89" s="270"/>
    </row>
    <row r="90" spans="3:4">
      <c r="C90" s="274"/>
      <c r="D90" s="270"/>
    </row>
    <row r="91" spans="3:4">
      <c r="C91" s="274"/>
      <c r="D91" s="270"/>
    </row>
    <row r="92" spans="3:4">
      <c r="C92" s="274"/>
      <c r="D92" s="270"/>
    </row>
    <row r="93" spans="3:4">
      <c r="C93" s="274"/>
      <c r="D93" s="270"/>
    </row>
    <row r="94" spans="3:4">
      <c r="C94" s="274"/>
      <c r="D94" s="270"/>
    </row>
    <row r="95" spans="3:4">
      <c r="C95" s="274"/>
      <c r="D95" s="270"/>
    </row>
    <row r="96" spans="3:4">
      <c r="C96" s="274"/>
      <c r="D96" s="270"/>
    </row>
    <row r="97" spans="3:4">
      <c r="C97" s="274"/>
      <c r="D97" s="270"/>
    </row>
    <row r="98" spans="3:4">
      <c r="C98" s="274"/>
      <c r="D98" s="270"/>
    </row>
    <row r="99" spans="3:4">
      <c r="C99" s="274"/>
      <c r="D99" s="270"/>
    </row>
    <row r="100" spans="3:4">
      <c r="C100" s="274"/>
      <c r="D100" s="270"/>
    </row>
    <row r="101" spans="3:4">
      <c r="C101" s="274"/>
    </row>
    <row r="102" spans="3:4">
      <c r="C102" s="274"/>
    </row>
    <row r="103" spans="3:4">
      <c r="C103" s="274"/>
    </row>
    <row r="104" spans="3:4">
      <c r="C104" s="274"/>
    </row>
    <row r="105" spans="3:4">
      <c r="C105" s="274"/>
    </row>
    <row r="106" spans="3:4">
      <c r="C106" s="274"/>
    </row>
    <row r="107" spans="3:4">
      <c r="C107" s="274"/>
    </row>
    <row r="108" spans="3:4">
      <c r="C108" s="274"/>
    </row>
    <row r="109" spans="3:4">
      <c r="C109" s="274"/>
    </row>
    <row r="110" spans="3:4">
      <c r="C110" s="274"/>
    </row>
    <row r="111" spans="3:4">
      <c r="C111" s="274"/>
    </row>
    <row r="112" spans="3:4">
      <c r="C112" s="274"/>
    </row>
    <row r="113" spans="3:3">
      <c r="C113" s="274"/>
    </row>
    <row r="114" spans="3:3">
      <c r="C114" s="274"/>
    </row>
    <row r="115" spans="3:3">
      <c r="C115" s="274"/>
    </row>
    <row r="116" spans="3:3">
      <c r="C116" s="274"/>
    </row>
    <row r="117" spans="3:3">
      <c r="C117" s="274"/>
    </row>
    <row r="118" spans="3:3">
      <c r="C118" s="274"/>
    </row>
    <row r="119" spans="3:3">
      <c r="C119" s="274"/>
    </row>
    <row r="120" spans="3:3">
      <c r="C120" s="274"/>
    </row>
    <row r="121" spans="3:3">
      <c r="C121" s="274"/>
    </row>
    <row r="122" spans="3:3">
      <c r="C122" s="274"/>
    </row>
    <row r="123" spans="3:3">
      <c r="C123" s="274"/>
    </row>
    <row r="124" spans="3:3">
      <c r="C124" s="274"/>
    </row>
    <row r="125" spans="3:3">
      <c r="C125" s="274"/>
    </row>
    <row r="126" spans="3:3">
      <c r="C126" s="274"/>
    </row>
    <row r="127" spans="3:3">
      <c r="C127" s="274"/>
    </row>
    <row r="128" spans="3:3">
      <c r="C128" s="274"/>
    </row>
    <row r="129" spans="3:3">
      <c r="C129" s="274"/>
    </row>
    <row r="130" spans="3:3">
      <c r="C130" s="274"/>
    </row>
    <row r="131" spans="3:3">
      <c r="C131" s="274"/>
    </row>
    <row r="132" spans="3:3">
      <c r="C132" s="274"/>
    </row>
    <row r="133" spans="3:3">
      <c r="C133" s="274"/>
    </row>
    <row r="134" spans="3:3">
      <c r="C134" s="274"/>
    </row>
    <row r="135" spans="3:3">
      <c r="C135" s="274"/>
    </row>
    <row r="136" spans="3:3">
      <c r="C136" s="274"/>
    </row>
    <row r="137" spans="3:3">
      <c r="C137" s="274"/>
    </row>
    <row r="138" spans="3:3">
      <c r="C138" s="274"/>
    </row>
    <row r="139" spans="3:3">
      <c r="C139" s="274"/>
    </row>
    <row r="140" spans="3:3">
      <c r="C140" s="274"/>
    </row>
    <row r="141" spans="3:3">
      <c r="C141" s="274"/>
    </row>
    <row r="142" spans="3:3">
      <c r="C142" s="274"/>
    </row>
    <row r="143" spans="3:3">
      <c r="C143" s="274"/>
    </row>
    <row r="144" spans="3:3">
      <c r="C144" s="274"/>
    </row>
    <row r="145" spans="3:3">
      <c r="C145" s="274"/>
    </row>
    <row r="146" spans="3:3">
      <c r="C146" s="274"/>
    </row>
    <row r="147" spans="3:3">
      <c r="C147" s="274"/>
    </row>
    <row r="148" spans="3:3">
      <c r="C148" s="274"/>
    </row>
    <row r="149" spans="3:3">
      <c r="C149" s="274"/>
    </row>
    <row r="150" spans="3:3">
      <c r="C150" s="274"/>
    </row>
    <row r="151" spans="3:3">
      <c r="C151" s="274"/>
    </row>
    <row r="152" spans="3:3">
      <c r="C152" s="274"/>
    </row>
    <row r="153" spans="3:3">
      <c r="C153" s="274"/>
    </row>
    <row r="154" spans="3:3">
      <c r="C154" s="274"/>
    </row>
    <row r="155" spans="3:3">
      <c r="C155" s="274"/>
    </row>
    <row r="156" spans="3:3">
      <c r="C156" s="274"/>
    </row>
    <row r="157" spans="3:3">
      <c r="C157" s="274"/>
    </row>
    <row r="158" spans="3:3">
      <c r="C158" s="274"/>
    </row>
    <row r="159" spans="3:3">
      <c r="C159" s="274"/>
    </row>
    <row r="160" spans="3:3">
      <c r="C160" s="274"/>
    </row>
    <row r="161" spans="3:3">
      <c r="C161" s="274"/>
    </row>
    <row r="162" spans="3:3">
      <c r="C162" s="274"/>
    </row>
    <row r="163" spans="3:3">
      <c r="C163" s="274"/>
    </row>
    <row r="164" spans="3:3">
      <c r="C164" s="274"/>
    </row>
    <row r="165" spans="3:3">
      <c r="C165" s="274"/>
    </row>
    <row r="166" spans="3:3">
      <c r="C166" s="274"/>
    </row>
    <row r="167" spans="3:3">
      <c r="C167" s="274"/>
    </row>
    <row r="168" spans="3:3">
      <c r="C168" s="274"/>
    </row>
    <row r="169" spans="3:3">
      <c r="C169" s="274"/>
    </row>
    <row r="170" spans="3:3">
      <c r="C170" s="274"/>
    </row>
    <row r="171" spans="3:3">
      <c r="C171" s="274"/>
    </row>
    <row r="172" spans="3:3">
      <c r="C172" s="274"/>
    </row>
    <row r="173" spans="3:3">
      <c r="C173" s="274"/>
    </row>
    <row r="174" spans="3:3">
      <c r="C174" s="274"/>
    </row>
    <row r="175" spans="3:3">
      <c r="C175" s="274"/>
    </row>
    <row r="176" spans="3:3">
      <c r="C176" s="274"/>
    </row>
    <row r="177" spans="3:3">
      <c r="C177" s="274"/>
    </row>
    <row r="178" spans="3:3">
      <c r="C178" s="274"/>
    </row>
    <row r="179" spans="3:3">
      <c r="C179" s="274"/>
    </row>
    <row r="180" spans="3:3">
      <c r="C180" s="274"/>
    </row>
    <row r="181" spans="3:3">
      <c r="C181" s="274"/>
    </row>
    <row r="182" spans="3:3">
      <c r="C182" s="274"/>
    </row>
    <row r="183" spans="3:3">
      <c r="C183" s="274"/>
    </row>
    <row r="184" spans="3:3">
      <c r="C184" s="274"/>
    </row>
    <row r="185" spans="3:3">
      <c r="C185" s="274"/>
    </row>
    <row r="186" spans="3:3">
      <c r="C186" s="274"/>
    </row>
    <row r="187" spans="3:3">
      <c r="C187" s="274"/>
    </row>
    <row r="188" spans="3:3">
      <c r="C188" s="274"/>
    </row>
    <row r="189" spans="3:3">
      <c r="C189" s="274"/>
    </row>
    <row r="190" spans="3:3">
      <c r="C190" s="274"/>
    </row>
    <row r="191" spans="3:3">
      <c r="C191" s="274"/>
    </row>
    <row r="192" spans="3:3">
      <c r="C192" s="274"/>
    </row>
    <row r="193" spans="3:3">
      <c r="C193" s="274"/>
    </row>
    <row r="194" spans="3:3">
      <c r="C194" s="274"/>
    </row>
    <row r="195" spans="3:3">
      <c r="C195" s="274"/>
    </row>
    <row r="196" spans="3:3">
      <c r="C196" s="274"/>
    </row>
    <row r="197" spans="3:3">
      <c r="C197" s="274"/>
    </row>
    <row r="198" spans="3:3">
      <c r="C198" s="274"/>
    </row>
    <row r="199" spans="3:3">
      <c r="C199" s="274"/>
    </row>
    <row r="200" spans="3:3">
      <c r="C200" s="274"/>
    </row>
    <row r="201" spans="3:3">
      <c r="C201" s="274"/>
    </row>
    <row r="202" spans="3:3">
      <c r="C202" s="274"/>
    </row>
    <row r="203" spans="3:3">
      <c r="C203" s="274"/>
    </row>
    <row r="204" spans="3:3">
      <c r="C204" s="274"/>
    </row>
    <row r="205" spans="3:3">
      <c r="C205" s="274"/>
    </row>
    <row r="206" spans="3:3">
      <c r="C206" s="274"/>
    </row>
    <row r="207" spans="3:3">
      <c r="C207" s="274"/>
    </row>
    <row r="208" spans="3:3">
      <c r="C208" s="274"/>
    </row>
    <row r="209" spans="3:3">
      <c r="C209" s="274"/>
    </row>
    <row r="210" spans="3:3">
      <c r="C210" s="274"/>
    </row>
    <row r="211" spans="3:3">
      <c r="C211" s="274"/>
    </row>
    <row r="212" spans="3:3">
      <c r="C212" s="274"/>
    </row>
    <row r="213" spans="3:3">
      <c r="C213" s="274"/>
    </row>
    <row r="214" spans="3:3">
      <c r="C214" s="274"/>
    </row>
    <row r="215" spans="3:3">
      <c r="C215" s="274"/>
    </row>
    <row r="216" spans="3:3">
      <c r="C216" s="274"/>
    </row>
    <row r="217" spans="3:3">
      <c r="C217" s="274"/>
    </row>
    <row r="218" spans="3:3">
      <c r="C218" s="274"/>
    </row>
    <row r="219" spans="3:3">
      <c r="C219" s="274"/>
    </row>
    <row r="220" spans="3:3">
      <c r="C220" s="274"/>
    </row>
    <row r="221" spans="3:3">
      <c r="C221" s="274"/>
    </row>
    <row r="222" spans="3:3">
      <c r="C222" s="274"/>
    </row>
    <row r="223" spans="3:3">
      <c r="C223" s="274"/>
    </row>
    <row r="224" spans="3:3">
      <c r="C224" s="274"/>
    </row>
    <row r="225" spans="3:3">
      <c r="C225" s="274"/>
    </row>
    <row r="226" spans="3:3">
      <c r="C226" s="274"/>
    </row>
    <row r="227" spans="3:3">
      <c r="C227" s="274"/>
    </row>
    <row r="228" spans="3:3">
      <c r="C228" s="274"/>
    </row>
    <row r="229" spans="3:3">
      <c r="C229" s="274"/>
    </row>
    <row r="230" spans="3:3">
      <c r="C230" s="274"/>
    </row>
    <row r="231" spans="3:3">
      <c r="C231" s="274"/>
    </row>
    <row r="232" spans="3:3">
      <c r="C232" s="274"/>
    </row>
    <row r="233" spans="3:3">
      <c r="C233" s="274"/>
    </row>
    <row r="234" spans="3:3">
      <c r="C234" s="274"/>
    </row>
    <row r="235" spans="3:3">
      <c r="C235" s="274"/>
    </row>
    <row r="236" spans="3:3">
      <c r="C236" s="274"/>
    </row>
    <row r="237" spans="3:3">
      <c r="C237" s="274"/>
    </row>
    <row r="238" spans="3:3">
      <c r="C238" s="274"/>
    </row>
    <row r="239" spans="3:3">
      <c r="C239" s="274"/>
    </row>
    <row r="240" spans="3:3">
      <c r="C240" s="274"/>
    </row>
    <row r="241" spans="3:3">
      <c r="C241" s="274"/>
    </row>
    <row r="242" spans="3:3">
      <c r="C242" s="274"/>
    </row>
    <row r="243" spans="3:3">
      <c r="C243" s="274"/>
    </row>
    <row r="244" spans="3:3">
      <c r="C244" s="274"/>
    </row>
    <row r="245" spans="3:3">
      <c r="C245" s="274"/>
    </row>
    <row r="246" spans="3:3">
      <c r="C246" s="274"/>
    </row>
    <row r="247" spans="3:3">
      <c r="C247" s="274"/>
    </row>
    <row r="248" spans="3:3">
      <c r="C248" s="274"/>
    </row>
    <row r="249" spans="3:3">
      <c r="C249" s="274"/>
    </row>
    <row r="250" spans="3:3">
      <c r="C250" s="274"/>
    </row>
    <row r="251" spans="3:3">
      <c r="C251" s="274"/>
    </row>
    <row r="252" spans="3:3">
      <c r="C252" s="274"/>
    </row>
    <row r="253" spans="3:3">
      <c r="C253" s="274"/>
    </row>
    <row r="254" spans="3:3">
      <c r="C254" s="274"/>
    </row>
    <row r="255" spans="3:3">
      <c r="C255" s="274"/>
    </row>
    <row r="256" spans="3:3">
      <c r="C256" s="274"/>
    </row>
    <row r="257" spans="3:3">
      <c r="C257" s="274"/>
    </row>
    <row r="258" spans="3:3">
      <c r="C258" s="274"/>
    </row>
    <row r="259" spans="3:3">
      <c r="C259" s="274"/>
    </row>
    <row r="260" spans="3:3">
      <c r="C260" s="274"/>
    </row>
    <row r="261" spans="3:3">
      <c r="C261" s="274"/>
    </row>
    <row r="262" spans="3:3">
      <c r="C262" s="274"/>
    </row>
    <row r="263" spans="3:3">
      <c r="C263" s="274"/>
    </row>
    <row r="264" spans="3:3">
      <c r="C264" s="274"/>
    </row>
    <row r="265" spans="3:3">
      <c r="C265" s="274"/>
    </row>
    <row r="266" spans="3:3">
      <c r="C266" s="274"/>
    </row>
    <row r="267" spans="3:3">
      <c r="C267" s="274"/>
    </row>
    <row r="268" spans="3:3">
      <c r="C268" s="274"/>
    </row>
    <row r="269" spans="3:3">
      <c r="C269" s="274"/>
    </row>
    <row r="270" spans="3:3">
      <c r="C270" s="274"/>
    </row>
    <row r="271" spans="3:3">
      <c r="C271" s="274"/>
    </row>
    <row r="272" spans="3:3">
      <c r="C272" s="274"/>
    </row>
    <row r="273" spans="3:3">
      <c r="C273" s="274"/>
    </row>
    <row r="274" spans="3:3">
      <c r="C274" s="274"/>
    </row>
    <row r="275" spans="3:3">
      <c r="C275" s="274"/>
    </row>
    <row r="276" spans="3:3">
      <c r="C276" s="274"/>
    </row>
    <row r="277" spans="3:3">
      <c r="C277" s="274"/>
    </row>
    <row r="278" spans="3:3">
      <c r="C278" s="274"/>
    </row>
    <row r="279" spans="3:3">
      <c r="C279" s="274"/>
    </row>
    <row r="280" spans="3:3">
      <c r="C280" s="274"/>
    </row>
    <row r="281" spans="3:3">
      <c r="C281" s="274"/>
    </row>
    <row r="282" spans="3:3">
      <c r="C282" s="274"/>
    </row>
    <row r="283" spans="3:3">
      <c r="C283" s="274"/>
    </row>
    <row r="284" spans="3:3">
      <c r="C284" s="274"/>
    </row>
    <row r="285" spans="3:3">
      <c r="C285" s="274"/>
    </row>
    <row r="286" spans="3:3">
      <c r="C286" s="274"/>
    </row>
    <row r="287" spans="3:3">
      <c r="C287" s="274"/>
    </row>
    <row r="288" spans="3:3">
      <c r="C288" s="274"/>
    </row>
    <row r="289" spans="3:3">
      <c r="C289" s="274"/>
    </row>
    <row r="290" spans="3:3">
      <c r="C290" s="274"/>
    </row>
    <row r="291" spans="3:3">
      <c r="C291" s="274"/>
    </row>
    <row r="292" spans="3:3">
      <c r="C292" s="274"/>
    </row>
    <row r="293" spans="3:3">
      <c r="C293" s="274"/>
    </row>
    <row r="294" spans="3:3">
      <c r="C294" s="274"/>
    </row>
    <row r="295" spans="3:3">
      <c r="C295" s="274"/>
    </row>
    <row r="296" spans="3:3">
      <c r="C296" s="274"/>
    </row>
    <row r="297" spans="3:3">
      <c r="C297" s="274"/>
    </row>
    <row r="298" spans="3:3">
      <c r="C298" s="274"/>
    </row>
    <row r="299" spans="3:3">
      <c r="C299" s="274"/>
    </row>
    <row r="300" spans="3:3">
      <c r="C300" s="274"/>
    </row>
    <row r="301" spans="3:3">
      <c r="C301" s="274"/>
    </row>
    <row r="302" spans="3:3">
      <c r="C302" s="274"/>
    </row>
    <row r="303" spans="3:3">
      <c r="C303" s="274"/>
    </row>
    <row r="304" spans="3:3">
      <c r="C304" s="274"/>
    </row>
    <row r="305" spans="3:3">
      <c r="C305" s="274"/>
    </row>
    <row r="306" spans="3:3">
      <c r="C306" s="274"/>
    </row>
    <row r="307" spans="3:3">
      <c r="C307" s="274"/>
    </row>
    <row r="308" spans="3:3">
      <c r="C308" s="274"/>
    </row>
    <row r="309" spans="3:3">
      <c r="C309" s="274"/>
    </row>
    <row r="310" spans="3:3">
      <c r="C310" s="274"/>
    </row>
    <row r="311" spans="3:3">
      <c r="C311" s="274"/>
    </row>
    <row r="312" spans="3:3">
      <c r="C312" s="274"/>
    </row>
    <row r="313" spans="3:3">
      <c r="C313" s="274"/>
    </row>
    <row r="314" spans="3:3">
      <c r="C314" s="274"/>
    </row>
    <row r="315" spans="3:3">
      <c r="C315" s="274"/>
    </row>
    <row r="316" spans="3:3">
      <c r="C316" s="274"/>
    </row>
    <row r="317" spans="3:3">
      <c r="C317" s="274"/>
    </row>
    <row r="318" spans="3:3">
      <c r="C318" s="274"/>
    </row>
    <row r="319" spans="3:3">
      <c r="C319" s="274"/>
    </row>
    <row r="320" spans="3:3">
      <c r="C320" s="274"/>
    </row>
    <row r="321" spans="3:3">
      <c r="C321" s="274"/>
    </row>
    <row r="322" spans="3:3">
      <c r="C322" s="274"/>
    </row>
    <row r="323" spans="3:3">
      <c r="C323" s="274"/>
    </row>
    <row r="324" spans="3:3">
      <c r="C324" s="274"/>
    </row>
    <row r="325" spans="3:3">
      <c r="C325" s="274"/>
    </row>
    <row r="326" spans="3:3">
      <c r="C326" s="274"/>
    </row>
    <row r="327" spans="3:3">
      <c r="C327" s="274"/>
    </row>
    <row r="328" spans="3:3">
      <c r="C328" s="274"/>
    </row>
    <row r="329" spans="3:3">
      <c r="C329" s="274"/>
    </row>
    <row r="330" spans="3:3">
      <c r="C330" s="274"/>
    </row>
    <row r="331" spans="3:3">
      <c r="C331" s="274"/>
    </row>
    <row r="332" spans="3:3">
      <c r="C332" s="274"/>
    </row>
    <row r="333" spans="3:3">
      <c r="C333" s="274"/>
    </row>
    <row r="334" spans="3:3">
      <c r="C334" s="274"/>
    </row>
    <row r="335" spans="3:3">
      <c r="C335" s="274"/>
    </row>
    <row r="336" spans="3:3">
      <c r="C336" s="274"/>
    </row>
    <row r="337" spans="3:3">
      <c r="C337" s="274"/>
    </row>
    <row r="338" spans="3:3">
      <c r="C338" s="274"/>
    </row>
    <row r="339" spans="3:3">
      <c r="C339" s="274"/>
    </row>
    <row r="340" spans="3:3">
      <c r="C340" s="274"/>
    </row>
    <row r="341" spans="3:3">
      <c r="C341" s="274"/>
    </row>
    <row r="342" spans="3:3">
      <c r="C342" s="274"/>
    </row>
    <row r="343" spans="3:3">
      <c r="C343" s="274"/>
    </row>
    <row r="344" spans="3:3">
      <c r="C344" s="274"/>
    </row>
    <row r="345" spans="3:3">
      <c r="C345" s="274"/>
    </row>
    <row r="346" spans="3:3">
      <c r="C346" s="274"/>
    </row>
    <row r="347" spans="3:3">
      <c r="C347" s="274"/>
    </row>
    <row r="348" spans="3:3">
      <c r="C348" s="274"/>
    </row>
    <row r="349" spans="3:3">
      <c r="C349" s="274"/>
    </row>
    <row r="350" spans="3:3">
      <c r="C350" s="274"/>
    </row>
    <row r="351" spans="3:3">
      <c r="C351" s="275"/>
    </row>
    <row r="352" spans="3:3">
      <c r="C352" s="276"/>
    </row>
    <row r="353" spans="3:3">
      <c r="C353" s="276"/>
    </row>
  </sheetData>
  <sortState ref="Q3:R51">
    <sortCondition ref="Q2"/>
  </sortState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128"/>
  <sheetViews>
    <sheetView zoomScale="134" workbookViewId="0">
      <selection activeCell="J23" sqref="J23"/>
    </sheetView>
  </sheetViews>
  <sheetFormatPr defaultColWidth="11.453125" defaultRowHeight="14.5"/>
  <cols>
    <col min="1" max="1" width="46.453125" bestFit="1" customWidth="1"/>
    <col min="2" max="2" width="14.36328125" bestFit="1" customWidth="1"/>
    <col min="3" max="3" width="13.453125" customWidth="1"/>
    <col min="4" max="4" width="14.90625" bestFit="1" customWidth="1"/>
    <col min="5" max="5" width="13.90625" bestFit="1" customWidth="1"/>
    <col min="6" max="6" width="13.6328125" customWidth="1"/>
    <col min="7" max="7" width="14" customWidth="1"/>
    <col min="8" max="8" width="16.90625" customWidth="1"/>
    <col min="9" max="9" width="16.08984375" customWidth="1"/>
    <col min="10" max="10" width="17.08984375" customWidth="1"/>
    <col min="11" max="11" width="17.6328125" bestFit="1" customWidth="1"/>
  </cols>
  <sheetData>
    <row r="1" spans="1:10" ht="29.5" thickBot="1">
      <c r="A1" s="242" t="s">
        <v>398</v>
      </c>
      <c r="B1" s="248">
        <f>'ASHE Energy to Care'!D7</f>
        <v>0</v>
      </c>
      <c r="C1" s="229" t="str">
        <f>VLOOKUP(B1,Table1[#All],2,TRUE)</f>
        <v>BedA</v>
      </c>
      <c r="D1" s="204"/>
      <c r="E1" s="225"/>
      <c r="F1" s="226" t="s">
        <v>475</v>
      </c>
      <c r="G1" s="226" t="s">
        <v>22</v>
      </c>
      <c r="H1" s="226" t="s">
        <v>459</v>
      </c>
      <c r="I1" s="226" t="s">
        <v>458</v>
      </c>
      <c r="J1" s="226" t="s">
        <v>460</v>
      </c>
    </row>
    <row r="2" spans="1:10" ht="15.5">
      <c r="A2" s="243" t="s">
        <v>399</v>
      </c>
      <c r="B2" s="246">
        <f>'ASHE Energy to Care'!D8</f>
        <v>0</v>
      </c>
      <c r="C2" s="230" t="e">
        <f>VLOOKUP(B2,Table2[#All],2,TRUE)</f>
        <v>#N/A</v>
      </c>
      <c r="D2" s="204"/>
      <c r="E2" s="206"/>
      <c r="F2" s="212"/>
      <c r="G2" s="212"/>
      <c r="H2" s="212"/>
      <c r="I2" s="212"/>
      <c r="J2" s="223"/>
    </row>
    <row r="3" spans="1:10" ht="15.5">
      <c r="A3" s="244" t="s">
        <v>400</v>
      </c>
      <c r="B3" s="249" t="s">
        <v>486</v>
      </c>
      <c r="C3" s="231"/>
      <c r="D3" s="204"/>
      <c r="E3" s="206" t="s">
        <v>461</v>
      </c>
      <c r="F3" s="219" t="e">
        <f t="array" ref="F3">INDEX(test!$AG$3:$AG$238, MATCH(0, IF($B$7=test!$AX$3:$AX$238, COUNTIF($F$2:$F2, test!$AG$3:$AG$238), ""), 0))</f>
        <v>#N/A</v>
      </c>
      <c r="G3" s="220" t="e">
        <f t="array" ref="G3">INDEX(test!$AA$3:$AA$238, MATCH(0, IF($B$7=test!$AX$3:$AX$238, COUNTIF($G$2:$G2, test!$AA$3:$AA$238), ""), 0))</f>
        <v>#N/A</v>
      </c>
      <c r="H3" s="237" t="e">
        <f t="array" ref="H3">INDEX(test!$AC$3:$AC$238, MATCH(0, IF($B$7=test!$AX$3:$AX$238, COUNTIF($H$2:$H2, test!$AC$3:$AC$238), ""), 0))</f>
        <v>#N/A</v>
      </c>
      <c r="I3" s="237" t="e">
        <f t="array" ref="I3">INDEX(test!$U$3:$U$238, MATCH(0, IF($B$7=test!$AX$3:$AX$238, COUNTIF($I$2:$I2, test!$U$3:$U$238), ""), 0))</f>
        <v>#N/A</v>
      </c>
      <c r="J3" s="238" t="e">
        <f t="array" ref="J3">INDEX(test!$X$3:$X$238, MATCH(0, IF($B$7=test!$AX$3:$AX$238, COUNTIF($J$2:$J2, test!$X$3:$X$238), ""), 0))</f>
        <v>#N/A</v>
      </c>
    </row>
    <row r="4" spans="1:10" ht="15.5">
      <c r="A4" s="245"/>
      <c r="B4" s="247"/>
      <c r="C4" s="231"/>
      <c r="D4" s="204"/>
      <c r="E4" s="206" t="s">
        <v>462</v>
      </c>
      <c r="F4" s="219" t="e">
        <f t="array" ref="F4">INDEX(test!$AG$3:$AG$238, MATCH(0, IF($B$7=test!$AX$3:$AX$238, COUNTIF($F$2:$F3, test!$AG$3:$AG$238), ""), 0))</f>
        <v>#N/A</v>
      </c>
      <c r="G4" s="220" t="e">
        <f t="array" ref="G4">INDEX(test!$AA$3:$AA$238, MATCH(0, IF($B$7=test!$AX$3:$AX$238, COUNTIF($G$2:$G3, test!$AA$3:$AA$238), ""), 0))</f>
        <v>#N/A</v>
      </c>
      <c r="H4" s="237" t="e">
        <f t="array" ref="H4">INDEX(test!$AC$3:$AC$238, MATCH(0, IF($B$7=test!$AX$3:$AX$238, COUNTIF($H$2:$H3, test!$AC$3:$AC$238), ""), 0))</f>
        <v>#N/A</v>
      </c>
      <c r="I4" s="237" t="e">
        <f t="array" ref="I4">INDEX(test!$U$3:$U$238, MATCH(0, IF($B$7=test!$AX$3:$AX$238, COUNTIF($I$2:$I3, test!$U$3:$U$238), ""), 0))</f>
        <v>#N/A</v>
      </c>
      <c r="J4" s="238" t="e">
        <f t="array" ref="J4">INDEX(test!$X$3:$X$238, MATCH(0, IF($B$7=test!$AX$3:$AX$238, COUNTIF($J$2:$J3, test!$X$3:$X$238), ""), 0))</f>
        <v>#N/A</v>
      </c>
    </row>
    <row r="5" spans="1:10" ht="15.5">
      <c r="A5" s="252" t="s">
        <v>401</v>
      </c>
      <c r="B5" s="250" t="str">
        <f>'ASHE Energy to Care'!D11</f>
        <v>Region4</v>
      </c>
      <c r="C5" s="231"/>
      <c r="D5" s="204"/>
      <c r="E5" s="206" t="s">
        <v>464</v>
      </c>
      <c r="F5" s="219" t="e">
        <f t="array" ref="F5">INDEX(test!$AG$3:$AG$238, MATCH(0, IF($B$7=test!$AX$3:$AX$238, COUNTIF($F$2:$F4, test!$AG$3:$AG$238), ""), 0))</f>
        <v>#N/A</v>
      </c>
      <c r="G5" s="220" t="e">
        <f t="array" ref="G5">INDEX(test!$AA$3:$AA$238, MATCH(0, IF($B$7=test!$AX$3:$AX$238, COUNTIF($G$2:$G4, test!$AA$3:$AA$238), ""), 0))</f>
        <v>#N/A</v>
      </c>
      <c r="H5" s="237" t="e">
        <f t="array" ref="H5">INDEX(test!$AC$3:$AC$238, MATCH(0, IF($B$7=test!$AX$3:$AX$238, COUNTIF($H$2:$H4, test!$AC$3:$AC$238), ""), 0))</f>
        <v>#N/A</v>
      </c>
      <c r="I5" s="237" t="e">
        <f t="array" ref="I5">INDEX(test!$U$3:$U$238, MATCH(0, IF($B$7=test!$AX$3:$AX$238, COUNTIF($I$2:$I4, test!$U$3:$U$238), ""), 0))</f>
        <v>#N/A</v>
      </c>
      <c r="J5" s="238" t="e">
        <f t="array" ref="J5">INDEX(test!$X$3:$X$238, MATCH(0, IF($B$7=test!$AX$3:$AX$238, COUNTIF($J$2:$J4, test!$X$3:$X$238), ""), 0))</f>
        <v>#N/A</v>
      </c>
    </row>
    <row r="6" spans="1:10" ht="15.5">
      <c r="A6" s="241" t="s">
        <v>501</v>
      </c>
      <c r="B6" s="251" t="str">
        <f>IF(B5="Region10","Region9",B5)</f>
        <v>Region4</v>
      </c>
      <c r="C6" s="232"/>
      <c r="D6" s="204"/>
      <c r="E6" s="206" t="s">
        <v>465</v>
      </c>
      <c r="F6" s="219" t="e">
        <f t="array" ref="F6">INDEX(test!$AG$3:$AG$238, MATCH(0, IF($B$7=test!$AX$3:$AX$238, COUNTIF($F$2:$F5, test!$AG$3:$AG$238), ""), 0))</f>
        <v>#N/A</v>
      </c>
      <c r="G6" s="220" t="e">
        <f t="array" ref="G6">INDEX(test!$AA$3:$AA$238, MATCH(0, IF($B$7=test!$AX$3:$AX$238, COUNTIF($G$2:$G5, test!$AA$3:$AA$238), ""), 0))</f>
        <v>#N/A</v>
      </c>
      <c r="H6" s="237" t="e">
        <f t="array" ref="H6">INDEX(test!$AC$3:$AC$238, MATCH(0, IF($B$7=test!$AX$3:$AX$238, COUNTIF($H$2:$H5, test!$AC$3:$AC$238), ""), 0))</f>
        <v>#N/A</v>
      </c>
      <c r="I6" s="237" t="e">
        <f t="array" ref="I6">INDEX(test!$U$3:$U$238, MATCH(0, IF($B$7=test!$AX$3:$AX$238, COUNTIF($I$2:$I5, test!$U$3:$U$238), ""), 0))</f>
        <v>#N/A</v>
      </c>
      <c r="J6" s="238" t="e">
        <f t="array" ref="J6">INDEX(test!$X$3:$X$238, MATCH(0, IF($B$7=test!$AX$3:$AX$238, COUNTIF($J$2:$J5, test!$X$3:$X$238), ""), 0))</f>
        <v>#N/A</v>
      </c>
    </row>
    <row r="7" spans="1:10" ht="15.5">
      <c r="A7" s="233" t="s">
        <v>402</v>
      </c>
      <c r="B7" s="229" t="e">
        <f>IF(B1&gt;0,CONCATENATE(C1,B6),CONCATENATE(C2,B6))</f>
        <v>#N/A</v>
      </c>
      <c r="C7" s="232"/>
      <c r="D7" s="204"/>
      <c r="E7" s="206" t="s">
        <v>466</v>
      </c>
      <c r="F7" s="219" t="e">
        <f t="array" ref="F7">INDEX(test!$AG$3:$AG$238, MATCH(0, IF($B$7=test!$AX$3:$AX$238, COUNTIF($F$2:$F6, test!$AG$3:$AG$238), ""), 0))</f>
        <v>#N/A</v>
      </c>
      <c r="G7" s="220" t="e">
        <f t="array" ref="G7">INDEX(test!$AA$3:$AA$238, MATCH(0, IF($B$7=test!$AX$3:$AX$238, COUNTIF($G$2:$G6, test!$AA$3:$AA$238), ""), 0))</f>
        <v>#N/A</v>
      </c>
      <c r="H7" s="237" t="e">
        <f t="array" ref="H7">INDEX(test!$AC$3:$AC$238, MATCH(0, IF($B$7=test!$AX$3:$AX$238, COUNTIF($H$2:$H6, test!$AC$3:$AC$238), ""), 0))</f>
        <v>#N/A</v>
      </c>
      <c r="I7" s="237" t="e">
        <f t="array" ref="I7">INDEX(test!$U$3:$U$238, MATCH(0, IF($B$7=test!$AX$3:$AX$238, COUNTIF($I$2:$I6, test!$U$3:$U$238), ""), 0))</f>
        <v>#N/A</v>
      </c>
      <c r="J7" s="238" t="e">
        <f t="array" ref="J7">INDEX(test!$X$3:$X$238, MATCH(0, IF($B$7=test!$AX$3:$AX$238, COUNTIF($J$2:$J6, test!$X$3:$X$238), ""), 0))</f>
        <v>#N/A</v>
      </c>
    </row>
    <row r="8" spans="1:10" ht="15.5">
      <c r="A8" s="205"/>
      <c r="B8" s="204"/>
      <c r="C8" s="204"/>
      <c r="D8" s="204"/>
      <c r="E8" s="206" t="s">
        <v>467</v>
      </c>
      <c r="F8" s="219" t="e">
        <f t="array" ref="F8">INDEX(test!$AG$3:$AG$238, MATCH(0, IF($B$7=test!$AX$3:$AX$238, COUNTIF($F$2:$F7, test!$AG$3:$AG$238), ""), 0))</f>
        <v>#N/A</v>
      </c>
      <c r="G8" s="220" t="e">
        <f t="array" ref="G8">INDEX(test!$AA$3:$AA$238, MATCH(0, IF($B$7=test!$AX$3:$AX$238, COUNTIF($G$2:$G7, test!$AA$3:$AA$238), ""), 0))</f>
        <v>#N/A</v>
      </c>
      <c r="H8" s="221" t="e">
        <f t="array" ref="H8">INDEX(test!$AC$3:$AC$238, MATCH(0, IF($B$7=test!$AX$3:$AX$238, COUNTIF($H$2:$H7, test!$AC$3:$AC$238), ""), 0))</f>
        <v>#N/A</v>
      </c>
      <c r="I8" s="221" t="e">
        <f t="array" ref="I8">INDEX(test!$U$3:$U$238, MATCH(0, IF($B$7=test!$AX$3:$AX$238, COUNTIF($I$2:$I7, test!$U$3:$U$238), ""), 0))</f>
        <v>#N/A</v>
      </c>
      <c r="J8" s="222" t="e">
        <f t="array" ref="J8">INDEX(test!$X$3:$X$238, MATCH(0, IF($B$7=test!$AX$3:$AX$238, COUNTIF($J$2:$J7, test!$X$3:$X$238), ""), 0))</f>
        <v>#N/A</v>
      </c>
    </row>
    <row r="9" spans="1:10" ht="15.5">
      <c r="E9" s="206" t="s">
        <v>468</v>
      </c>
      <c r="F9" s="219" t="e">
        <f t="array" ref="F9">INDEX(test!$AG$3:$AG$238, MATCH(0, IF($B$7=test!$AX$3:$AX$238, COUNTIF($F$2:$F8, test!$AG$3:$AG$238), ""), 0))</f>
        <v>#N/A</v>
      </c>
      <c r="G9" s="220" t="e">
        <f t="array" ref="G9">INDEX(test!$AA$3:$AA$238, MATCH(0, IF($B$7=test!$AX$3:$AX$238, COUNTIF($G$2:$G8, test!$AA$3:$AA$238), ""), 0))</f>
        <v>#N/A</v>
      </c>
      <c r="H9" s="221" t="e">
        <f t="array" ref="H9">INDEX(test!$AC$3:$AC$238, MATCH(0, IF($B$7=test!$AX$3:$AX$238, COUNTIF($H$2:$H8, test!$AC$3:$AC$238), ""), 0))</f>
        <v>#N/A</v>
      </c>
      <c r="I9" s="221" t="e">
        <f t="array" ref="I9">INDEX(test!$U$3:$U$238, MATCH(0, IF($B$7=test!$AX$3:$AX$238, COUNTIF($I$2:$I8, test!$U$3:$U$238), ""), 0))</f>
        <v>#N/A</v>
      </c>
      <c r="J9" s="222" t="e">
        <f t="array" ref="J9">INDEX(test!$X$3:$X$238, MATCH(0, IF($B$7=test!$AX$3:$AX$238, COUNTIF($J$2:$J8, test!$X$3:$X$238), ""), 0))</f>
        <v>#N/A</v>
      </c>
    </row>
    <row r="10" spans="1:10" ht="15.5">
      <c r="E10" s="206" t="s">
        <v>469</v>
      </c>
      <c r="F10" s="219" t="e">
        <f t="array" ref="F10">INDEX(test!$AG$3:$AG$238, MATCH(0, IF($B$7=test!$AX$3:$AX$238, COUNTIF($F$2:$F9, test!$AG$3:$AG$238), ""), 0))</f>
        <v>#N/A</v>
      </c>
      <c r="G10" s="220" t="e">
        <f t="array" ref="G10">INDEX(test!$AA$3:$AA$238, MATCH(0, IF($B$7=test!$AX$3:$AX$238, COUNTIF($G$2:$G9, test!$AA$3:$AA$238), ""), 0))</f>
        <v>#N/A</v>
      </c>
      <c r="H10" s="221" t="e">
        <f t="array" ref="H10">INDEX(test!$AC$3:$AC$238, MATCH(0, IF($B$7=test!$AX$3:$AX$238, COUNTIF($H$2:$H9, test!$AC$3:$AC$238), ""), 0))</f>
        <v>#N/A</v>
      </c>
      <c r="I10" s="221" t="e">
        <f t="array" ref="I10">INDEX(test!$U$3:$U$238, MATCH(0, IF($B$7=test!$AX$3:$AX$238, COUNTIF($I$2:$I9, test!$U$3:$U$238), ""), 0))</f>
        <v>#N/A</v>
      </c>
      <c r="J10" s="222" t="e">
        <f t="array" ref="J10">INDEX(test!$X$3:$X$238, MATCH(0, IF($B$7=test!$AX$3:$AX$238, COUNTIF($J$2:$J9, test!$X$3:$X$238), ""), 0))</f>
        <v>#N/A</v>
      </c>
    </row>
    <row r="11" spans="1:10" ht="15.5">
      <c r="E11" s="206" t="s">
        <v>470</v>
      </c>
      <c r="F11" s="219" t="e">
        <f t="array" ref="F11">INDEX(test!$AG$3:$AG$238, MATCH(0, IF($B$7=test!$AX$3:$AX$238, COUNTIF($F$2:$F10, test!$AG$3:$AG$238), ""), 0))</f>
        <v>#N/A</v>
      </c>
      <c r="G11" s="220" t="e">
        <f t="array" ref="G11">INDEX(test!$AA$3:$AA$238, MATCH(0, IF($B$7=test!$AX$3:$AX$238, COUNTIF($G$2:$G10, test!$AA$3:$AA$238), ""), 0))</f>
        <v>#N/A</v>
      </c>
      <c r="H11" s="221" t="e">
        <f t="array" ref="H11">INDEX(test!$AC$3:$AC$238, MATCH(0, IF($B$7=test!$AX$3:$AX$238, COUNTIF($H$2:$H10, test!$AC$3:$AC$238), ""), 0))</f>
        <v>#N/A</v>
      </c>
      <c r="I11" s="221" t="e">
        <f t="array" ref="I11">INDEX(test!$U$3:$U$238, MATCH(0, IF($B$7=test!$AX$3:$AX$238, COUNTIF($I$2:$I10, test!$U$3:$U$238), ""), 0))</f>
        <v>#N/A</v>
      </c>
      <c r="J11" s="222" t="e">
        <f t="array" ref="J11">INDEX(test!$X$3:$X$238, MATCH(0, IF($B$7=test!$AX$3:$AX$238, COUNTIF($J$2:$J10, test!$X$3:$X$238), ""), 0))</f>
        <v>#N/A</v>
      </c>
    </row>
    <row r="12" spans="1:10" ht="15.5">
      <c r="E12" s="206" t="s">
        <v>471</v>
      </c>
      <c r="F12" s="219" t="e">
        <f t="array" ref="F12">INDEX(test!$AG$3:$AG$238, MATCH(0, IF($B$7=test!$AX$3:$AX$238, COUNTIF($F$2:$F11, test!$AG$3:$AG$238), ""), 0))</f>
        <v>#N/A</v>
      </c>
      <c r="G12" s="220" t="e">
        <f t="array" ref="G12">INDEX(test!$AA$3:$AA$238, MATCH(0, IF($B$7=test!$AX$3:$AX$238, COUNTIF($G$2:$G11, test!$AA$3:$AA$238), ""), 0))</f>
        <v>#N/A</v>
      </c>
      <c r="H12" s="212" t="e">
        <f t="array" ref="H12">INDEX(test!$AC$3:$AC$238, MATCH(0, IF($B$7=test!$AX$3:$AX$238, COUNTIF($H$2:$H11, test!$AC$3:$AC$238), ""), 0))</f>
        <v>#N/A</v>
      </c>
      <c r="I12" s="221" t="e">
        <f t="array" ref="I12">INDEX(test!$U$3:$U$238, MATCH(0, IF($B$7=test!$AX$3:$AX$238, COUNTIF($I$2:$I11, test!$U$3:$U$238), ""), 0))</f>
        <v>#N/A</v>
      </c>
      <c r="J12" s="223" t="e">
        <f t="array" ref="J12">INDEX(test!$X$3:$X$238, MATCH(0, IF($B$7=test!$AX$3:$AX$238, COUNTIF($J$2:$J11, test!$X$3:$X$238), ""), 0))</f>
        <v>#N/A</v>
      </c>
    </row>
    <row r="13" spans="1:10" ht="15.5">
      <c r="E13" s="206" t="s">
        <v>488</v>
      </c>
      <c r="F13" s="219" t="e">
        <f t="array" ref="F13">INDEX(test!$AG$3:$AG$238, MATCH(0, IF($B$7=test!$AX$3:$AX$238, COUNTIF($F$2:$F12, test!$AG$3:$AG$238), ""), 0))</f>
        <v>#N/A</v>
      </c>
      <c r="G13" s="220" t="e">
        <f t="array" ref="G13">INDEX(test!$AA$3:$AA$238, MATCH(0, IF($B$7=test!$AX$3:$AX$238, COUNTIF($G$2:$G12, test!$AA$3:$AA$238), ""), 0))</f>
        <v>#N/A</v>
      </c>
      <c r="H13" s="221" t="e">
        <f t="array" ref="H13">INDEX(test!$AC$3:$AC$238, MATCH(0, IF($B$7=test!$AX$3:$AX$238, COUNTIF($H$2:$H12, test!$AC$3:$AC$238), ""), 0))</f>
        <v>#N/A</v>
      </c>
      <c r="I13" s="221" t="e">
        <f t="array" ref="I13">INDEX(test!$U$3:$U$238, MATCH(0, IF($B$7=test!$AX$3:$AX$238, COUNTIF($I$2:$I12, test!$U$3:$U$238), ""), 0))</f>
        <v>#N/A</v>
      </c>
      <c r="J13" s="222" t="e">
        <f t="array" ref="J13">INDEX(test!$X$3:$X$238, MATCH(0, IF($B$7=test!$AX$3:$AX$238, COUNTIF($J$2:$J12, test!$X$3:$X$238), ""), 0))</f>
        <v>#N/A</v>
      </c>
    </row>
    <row r="14" spans="1:10" ht="15.5">
      <c r="E14" s="206" t="s">
        <v>489</v>
      </c>
      <c r="F14" s="219" t="e">
        <f t="array" ref="F14">INDEX(test!$AG$3:$AG$238, MATCH(0, IF($B$7=test!$AX$3:$AX$238, COUNTIF($F$2:$F13, test!$AG$3:$AG$238), ""), 0))</f>
        <v>#N/A</v>
      </c>
      <c r="G14" s="220" t="e">
        <f t="array" ref="G14">INDEX(test!$AA$3:$AA$238, MATCH(0, IF($B$7=test!$AX$3:$AX$238, COUNTIF($G$2:$G13, test!$AA$3:$AA$238), ""), 0))</f>
        <v>#N/A</v>
      </c>
      <c r="H14" s="212" t="e">
        <f t="array" ref="H14">INDEX(test!$AC$3:$AC$238, MATCH(0, IF($B$7=test!$AX$3:$AX$238, COUNTIF($H$2:$H13, test!$AC$3:$AC$238), ""), 0))</f>
        <v>#N/A</v>
      </c>
      <c r="I14" s="221" t="e">
        <f t="array" ref="I14">INDEX(test!$U$3:$U$238, MATCH(0, IF($B$7=test!$AX$3:$AX$238, COUNTIF($I$2:$I13, test!$U$3:$U$238), ""), 0))</f>
        <v>#N/A</v>
      </c>
      <c r="J14" s="223" t="e">
        <f t="array" ref="J14">INDEX(test!$X$3:$X$238, MATCH(0, IF($B$7=test!$AX$3:$AX$238, COUNTIF($J$2:$J13, test!$X$3:$X$238), ""), 0))</f>
        <v>#N/A</v>
      </c>
    </row>
    <row r="15" spans="1:10" ht="15.5">
      <c r="E15" s="206" t="s">
        <v>490</v>
      </c>
      <c r="F15" s="219" t="e">
        <f t="array" ref="F15">INDEX(test!$AG$3:$AG$238, MATCH(0, IF($B$7=test!$AX$3:$AX$238, COUNTIF($F$2:$F14, test!$AG$3:$AG$238), ""), 0))</f>
        <v>#N/A</v>
      </c>
      <c r="G15" s="220" t="e">
        <f t="array" ref="G15">INDEX(test!$AA$3:$AA$238, MATCH(0, IF($B$7=test!$AX$3:$AX$238, COUNTIF($G$2:$G14, test!$AA$3:$AA$238), ""), 0))</f>
        <v>#N/A</v>
      </c>
      <c r="H15" s="221" t="e">
        <f t="array" ref="H15">INDEX(test!$AC$3:$AC$238, MATCH(0, IF($B$7=test!$AX$3:$AX$238, COUNTIF($H$2:$H14, test!$AC$3:$AC$238), ""), 0))</f>
        <v>#N/A</v>
      </c>
      <c r="I15" s="221" t="e">
        <f t="array" ref="I15">INDEX(test!$U$3:$U$238, MATCH(0, IF($B$7=test!$AX$3:$AX$238, COUNTIF($I$2:$I14, test!$U$3:$U$238), ""), 0))</f>
        <v>#N/A</v>
      </c>
      <c r="J15" s="222" t="e">
        <f t="array" ref="J15">INDEX(test!$X$3:$X$238, MATCH(0, IF($B$7=test!$AX$3:$AX$238, COUNTIF($J$2:$J14, test!$X$3:$X$238), ""), 0))</f>
        <v>#N/A</v>
      </c>
    </row>
    <row r="16" spans="1:10" ht="15.5">
      <c r="E16" s="206" t="s">
        <v>491</v>
      </c>
      <c r="F16" s="219" t="e">
        <f t="array" ref="F16">INDEX(test!$AG$3:$AG$238, MATCH(0, IF($B$7=test!$AX$3:$AX$238, COUNTIF($F$2:$F15, test!$AG$3:$AG$238), ""), 0))</f>
        <v>#N/A</v>
      </c>
      <c r="G16" s="220" t="e">
        <f t="array" ref="G16">INDEX(test!$AA$3:$AA$238, MATCH(0, IF($B$7=test!$AX$3:$AX$238, COUNTIF($G$2:$G15, test!$AA$3:$AA$238), ""), 0))</f>
        <v>#N/A</v>
      </c>
      <c r="H16" s="212" t="e">
        <f t="array" ref="H16">INDEX(test!$AC$3:$AC$238, MATCH(0, IF($B$7=test!$AX$3:$AX$238, COUNTIF($H$2:$H15, test!$AC$3:$AC$238), ""), 0))</f>
        <v>#N/A</v>
      </c>
      <c r="I16" s="221" t="e">
        <f t="array" ref="I16">INDEX(test!$U$3:$U$238, MATCH(0, IF($B$7=test!$AX$3:$AX$238, COUNTIF($I$2:$I15, test!$U$3:$U$238), ""), 0))</f>
        <v>#N/A</v>
      </c>
      <c r="J16" s="223" t="e">
        <f t="array" ref="J16">INDEX(test!$X$3:$X$238, MATCH(0, IF($B$7=test!$AX$3:$AX$238, COUNTIF($J$2:$J15, test!$X$3:$X$238), ""), 0))</f>
        <v>#N/A</v>
      </c>
    </row>
    <row r="17" spans="1:12" ht="15.5">
      <c r="E17" s="206" t="s">
        <v>492</v>
      </c>
      <c r="F17" s="219" t="e">
        <f t="array" ref="F17">INDEX(test!$AG$3:$AG$238, MATCH(0, IF($B$7=test!$AX$3:$AX$238, COUNTIF($F$2:$F16, test!$AG$3:$AG$238), ""), 0))</f>
        <v>#N/A</v>
      </c>
      <c r="G17" s="220" t="e">
        <f t="array" ref="G17">INDEX(test!$AA$3:$AA$238, MATCH(0, IF($B$7=test!$AX$3:$AX$238, COUNTIF($G$2:$G16, test!$AA$3:$AA$238), ""), 0))</f>
        <v>#N/A</v>
      </c>
      <c r="H17" s="221" t="e">
        <f t="array" ref="H17">INDEX(test!$AC$3:$AC$238, MATCH(0, IF($B$7=test!$AX$3:$AX$238, COUNTIF($H$2:$H16, test!$AC$3:$AC$238), ""), 0))</f>
        <v>#N/A</v>
      </c>
      <c r="I17" s="221" t="e">
        <f t="array" ref="I17">INDEX(test!$U$3:$U$238, MATCH(0, IF($B$7=test!$AX$3:$AX$238, COUNTIF($I$2:$I16, test!$U$3:$U$238), ""), 0))</f>
        <v>#N/A</v>
      </c>
      <c r="J17" s="222" t="e">
        <f t="array" ref="J17">INDEX(test!$X$3:$X$238, MATCH(0, IF($B$7=test!$AX$3:$AX$238, COUNTIF($J$2:$J16, test!$X$3:$X$238), ""), 0))</f>
        <v>#N/A</v>
      </c>
    </row>
    <row r="18" spans="1:12" ht="15.5">
      <c r="E18" s="206" t="s">
        <v>493</v>
      </c>
      <c r="F18" s="219" t="e">
        <f t="array" ref="F18">INDEX(test!$AG$3:$AG$238, MATCH(0, IF($B$7=test!$AX$3:$AX$238, COUNTIF($F$2:$F17, test!$AG$3:$AG$238), ""), 0))</f>
        <v>#N/A</v>
      </c>
      <c r="G18" s="220" t="e">
        <f t="array" ref="G18">INDEX(test!$AA$3:$AA$238, MATCH(0, IF($B$7=test!$AX$3:$AX$238, COUNTIF($G$2:$G17, test!$AA$3:$AA$238), ""), 0))</f>
        <v>#N/A</v>
      </c>
      <c r="H18" s="212" t="e">
        <f t="array" ref="H18">INDEX(test!$AC$3:$AC$238, MATCH(0, IF($B$7=test!$AX$3:$AX$238, COUNTIF($H$2:$H17, test!$AC$3:$AC$238), ""), 0))</f>
        <v>#N/A</v>
      </c>
      <c r="I18" s="221" t="e">
        <f t="array" ref="I18">INDEX(test!$U$3:$U$238, MATCH(0, IF($B$7=test!$AX$3:$AX$238, COUNTIF($I$2:$I17, test!$U$3:$U$238), ""), 0))</f>
        <v>#N/A</v>
      </c>
      <c r="J18" s="223" t="e">
        <f t="array" ref="J18">INDEX(test!$X$3:$X$238, MATCH(0, IF($B$7=test!$AX$3:$AX$238, COUNTIF($J$2:$J17, test!$X$3:$X$238), ""), 0))</f>
        <v>#N/A</v>
      </c>
    </row>
    <row r="19" spans="1:12" ht="15.5">
      <c r="E19" s="206" t="s">
        <v>494</v>
      </c>
      <c r="F19" s="219" t="e">
        <f t="array" ref="F19">INDEX(test!$AG$3:$AG$238, MATCH(0, IF($B$7=test!$AX$3:$AX$238, COUNTIF($F$2:$F18, test!$AG$3:$AG$238), ""), 0))</f>
        <v>#N/A</v>
      </c>
      <c r="G19" s="220" t="e">
        <f t="array" ref="G19">INDEX(test!$AA$3:$AA$238, MATCH(0, IF($B$7=test!$AX$3:$AX$238, COUNTIF($G$2:$G18, test!$AA$3:$AA$238), ""), 0))</f>
        <v>#N/A</v>
      </c>
      <c r="H19" s="221" t="e">
        <f t="array" ref="H19">INDEX(test!$AC$3:$AC$238, MATCH(0, IF($B$7=test!$AX$3:$AX$238, COUNTIF($H$2:$H18, test!$AC$3:$AC$238), ""), 0))</f>
        <v>#N/A</v>
      </c>
      <c r="I19" s="221" t="e">
        <f t="array" ref="I19">INDEX(test!$U$3:$U$238, MATCH(0, IF($B$7=test!$AX$3:$AX$238, COUNTIF($I$2:$I18, test!$U$3:$U$238), ""), 0))</f>
        <v>#N/A</v>
      </c>
      <c r="J19" s="222" t="e">
        <f t="array" ref="J19">INDEX(test!$X$3:$X$238, MATCH(0, IF($B$7=test!$AX$3:$AX$238, COUNTIF($J$2:$J18, test!$X$3:$X$238), ""), 0))</f>
        <v>#N/A</v>
      </c>
    </row>
    <row r="20" spans="1:12" ht="15.5">
      <c r="E20" s="206" t="s">
        <v>495</v>
      </c>
      <c r="F20" s="219" t="e">
        <f t="array" ref="F20">INDEX(test!$AG$3:$AG$238, MATCH(0, IF($B$7=test!$AX$3:$AX$238, COUNTIF($F$2:$F19, test!$AG$3:$AG$238), ""), 0))</f>
        <v>#N/A</v>
      </c>
      <c r="G20" s="220" t="e">
        <f t="array" ref="G20">INDEX(test!$AA$3:$AA$238, MATCH(0, IF($B$7=test!$AX$3:$AX$238, COUNTIF($G$2:$G19, test!$AA$3:$AA$238), ""), 0))</f>
        <v>#N/A</v>
      </c>
      <c r="H20" s="212" t="e">
        <f t="array" ref="H20">INDEX(test!$AC$3:$AC$238, MATCH(0, IF($B$7=test!$AX$3:$AX$238, COUNTIF($H$2:$H19, test!$AC$3:$AC$238), ""), 0))</f>
        <v>#N/A</v>
      </c>
      <c r="I20" s="221" t="e">
        <f t="array" ref="I20">INDEX(test!$U$3:$U$238, MATCH(0, IF($B$7=test!$AX$3:$AX$238, COUNTIF($I$2:$I19, test!$U$3:$U$238), ""), 0))</f>
        <v>#N/A</v>
      </c>
      <c r="J20" s="223" t="e">
        <f t="array" ref="J20">INDEX(test!$X$3:$X$238, MATCH(0, IF($B$7=test!$AX$3:$AX$238, COUNTIF($J$2:$J19, test!$X$3:$X$238), ""), 0))</f>
        <v>#N/A</v>
      </c>
    </row>
    <row r="21" spans="1:12" ht="15.5">
      <c r="E21" s="206" t="s">
        <v>496</v>
      </c>
      <c r="F21" s="219" t="e">
        <f t="array" ref="F21">INDEX(test!$AG$3:$AG$238, MATCH(0, IF($B$7=test!$AX$3:$AX$238, COUNTIF($F$2:$F20, test!$AG$3:$AG$238), ""), 0))</f>
        <v>#N/A</v>
      </c>
      <c r="G21" s="220" t="e">
        <f t="array" ref="G21">INDEX(test!$AA$3:$AA$238, MATCH(0, IF($B$7=test!$AX$3:$AX$238, COUNTIF($G$2:$G20, test!$AA$3:$AA$238), ""), 0))</f>
        <v>#N/A</v>
      </c>
      <c r="H21" s="221" t="e">
        <f t="array" ref="H21">INDEX(test!$AC$3:$AC$238, MATCH(0, IF($B$7=test!$AX$3:$AX$238, COUNTIF($H$2:$H20, test!$AC$3:$AC$238), ""), 0))</f>
        <v>#N/A</v>
      </c>
      <c r="I21" s="221" t="e">
        <f t="array" ref="I21">INDEX(test!$U$3:$U$238, MATCH(0, IF($B$7=test!$AX$3:$AX$238, COUNTIF($I$2:$I20, test!$U$3:$U$238), ""), 0))</f>
        <v>#N/A</v>
      </c>
      <c r="J21" s="222" t="e">
        <f t="array" ref="J21">INDEX(test!$X$3:$X$238, MATCH(0, IF($B$7=test!$AX$3:$AX$238, COUNTIF($J$2:$J20, test!$X$3:$X$238), ""), 0))</f>
        <v>#N/A</v>
      </c>
    </row>
    <row r="22" spans="1:12" ht="15.5">
      <c r="E22" s="206" t="s">
        <v>497</v>
      </c>
      <c r="F22" s="219" t="e">
        <f t="array" ref="F22">INDEX(test!$AG$3:$AG$238, MATCH(0, IF($B$7=test!$AX$3:$AX$238, COUNTIF($F$2:$F21, test!$AG$3:$AG$238), ""), 0))</f>
        <v>#N/A</v>
      </c>
      <c r="G22" s="220" t="e">
        <f t="array" ref="G22">INDEX(test!$AA$3:$AA$238, MATCH(0, IF($B$7=test!$AX$3:$AX$238, COUNTIF($G$2:$G21, test!$AA$3:$AA$238), ""), 0))</f>
        <v>#N/A</v>
      </c>
      <c r="H22" s="212" t="e">
        <f t="array" ref="H22">INDEX(test!$AC$3:$AC$238, MATCH(0, IF($B$7=test!$AX$3:$AX$238, COUNTIF($H$2:$H21, test!$AC$3:$AC$238), ""), 0))</f>
        <v>#N/A</v>
      </c>
      <c r="I22" s="221" t="e">
        <f t="array" ref="I22">INDEX(test!$U$3:$U$238, MATCH(0, IF($B$7=test!$AX$3:$AX$238, COUNTIF($I$2:$I21, test!$U$3:$U$238), ""), 0))</f>
        <v>#N/A</v>
      </c>
      <c r="J22" s="223" t="e">
        <f t="array" ref="J22">INDEX(test!$X$3:$X$238, MATCH(0, IF($B$7=test!$AX$3:$AX$238, COUNTIF($J$2:$J21, test!$X$3:$X$238), ""), 0))</f>
        <v>#N/A</v>
      </c>
    </row>
    <row r="23" spans="1:12" ht="15" thickBot="1">
      <c r="E23" s="224"/>
      <c r="F23" s="218" t="e">
        <f>MAX(INDEX(F3:F22,1):INDEX(F3:F22,MATCH(99^99,F3:F22,1)))</f>
        <v>#N/A</v>
      </c>
      <c r="G23" s="228" t="e">
        <f>MAX(INDEX(G3:G22,1):INDEX(G3:G22,MATCH(99^99,G3:G22,1)))</f>
        <v>#N/A</v>
      </c>
      <c r="H23" s="227" t="e">
        <f>MAX(INDEX(H3:H22,1):INDEX(H3:H22,MATCH(99^99,H3:H22,1)))</f>
        <v>#N/A</v>
      </c>
      <c r="I23" s="227" t="e">
        <f>MAX(INDEX(I3:I22,1):INDEX(I3:I22,MATCH(99^99,I3:I22,1)))</f>
        <v>#N/A</v>
      </c>
      <c r="J23" s="227" t="e">
        <f>MAX(INDEX(J3:J22,1):INDEX(J3:J22,MATCH(99^99,J3:J22,1)))</f>
        <v>#N/A</v>
      </c>
    </row>
    <row r="24" spans="1:12" ht="15" thickTop="1">
      <c r="F24" s="217"/>
    </row>
    <row r="25" spans="1:12" s="239" customFormat="1">
      <c r="A25" s="239" t="s">
        <v>499</v>
      </c>
      <c r="G25" s="240"/>
    </row>
    <row r="26" spans="1:12" ht="15" thickTop="1">
      <c r="A26" s="10"/>
      <c r="B26" s="212"/>
      <c r="C26" s="212"/>
      <c r="D26" s="212"/>
      <c r="E26" s="212"/>
      <c r="F26" s="212"/>
      <c r="G26" s="10"/>
      <c r="K26" s="10"/>
      <c r="L26" s="10"/>
    </row>
    <row r="27" spans="1:12">
      <c r="B27" s="213" t="s">
        <v>403</v>
      </c>
      <c r="C27" s="213"/>
      <c r="D27" s="213"/>
      <c r="E27" s="213" t="s">
        <v>410</v>
      </c>
      <c r="F27" s="213"/>
      <c r="G27" s="213"/>
      <c r="H27" s="213" t="s">
        <v>417</v>
      </c>
      <c r="I27" s="213"/>
      <c r="J27" s="213"/>
      <c r="K27" s="215" t="s">
        <v>476</v>
      </c>
      <c r="L27" s="10"/>
    </row>
    <row r="28" spans="1:12" ht="15" thickBot="1">
      <c r="B28" t="s">
        <v>404</v>
      </c>
      <c r="C28" t="s">
        <v>405</v>
      </c>
      <c r="E28" t="s">
        <v>404</v>
      </c>
      <c r="F28" t="s">
        <v>405</v>
      </c>
      <c r="H28" t="s">
        <v>418</v>
      </c>
      <c r="I28" t="s">
        <v>419</v>
      </c>
      <c r="K28" s="10"/>
      <c r="L28" s="10"/>
    </row>
    <row r="29" spans="1:12" ht="15" thickBot="1">
      <c r="B29" s="2">
        <v>0</v>
      </c>
      <c r="C29" s="3" t="s">
        <v>406</v>
      </c>
      <c r="E29" s="235">
        <v>1</v>
      </c>
      <c r="F29" s="6" t="s">
        <v>411</v>
      </c>
      <c r="G29" s="13"/>
      <c r="H29" s="2" t="s">
        <v>420</v>
      </c>
      <c r="I29" s="8" t="s">
        <v>443</v>
      </c>
      <c r="K29" s="11" t="s">
        <v>420</v>
      </c>
      <c r="L29" s="10"/>
    </row>
    <row r="30" spans="1:12">
      <c r="B30" s="4">
        <v>100</v>
      </c>
      <c r="C30" s="5" t="s">
        <v>407</v>
      </c>
      <c r="E30" s="235">
        <v>50000</v>
      </c>
      <c r="F30" s="7" t="s">
        <v>412</v>
      </c>
      <c r="G30" s="13"/>
      <c r="H30" s="4" t="s">
        <v>422</v>
      </c>
      <c r="I30" s="9" t="s">
        <v>443</v>
      </c>
      <c r="K30" s="12" t="s">
        <v>422</v>
      </c>
      <c r="L30" s="10"/>
    </row>
    <row r="31" spans="1:12">
      <c r="B31" s="4">
        <v>300</v>
      </c>
      <c r="C31" s="5" t="s">
        <v>408</v>
      </c>
      <c r="E31" s="236">
        <v>150000</v>
      </c>
      <c r="F31" s="7" t="s">
        <v>413</v>
      </c>
      <c r="G31" s="13"/>
      <c r="H31" s="4" t="s">
        <v>427</v>
      </c>
      <c r="I31" s="9" t="s">
        <v>443</v>
      </c>
      <c r="K31" s="11" t="s">
        <v>427</v>
      </c>
      <c r="L31" s="10"/>
    </row>
    <row r="32" spans="1:12">
      <c r="B32" s="4">
        <v>500</v>
      </c>
      <c r="C32" s="5" t="s">
        <v>409</v>
      </c>
      <c r="E32" s="236">
        <v>300000</v>
      </c>
      <c r="F32" s="7" t="s">
        <v>414</v>
      </c>
      <c r="G32" s="13"/>
      <c r="H32" s="4" t="s">
        <v>423</v>
      </c>
      <c r="I32" s="9" t="s">
        <v>443</v>
      </c>
      <c r="K32" s="12" t="s">
        <v>423</v>
      </c>
      <c r="L32" s="10"/>
    </row>
    <row r="33" spans="5:12">
      <c r="E33" s="236">
        <v>500000</v>
      </c>
      <c r="F33" s="7" t="s">
        <v>415</v>
      </c>
      <c r="G33" s="13"/>
      <c r="H33" s="4" t="s">
        <v>424</v>
      </c>
      <c r="I33" s="9" t="s">
        <v>443</v>
      </c>
      <c r="K33" s="11" t="s">
        <v>424</v>
      </c>
      <c r="L33" s="10"/>
    </row>
    <row r="34" spans="5:12">
      <c r="E34" s="236">
        <v>1000000</v>
      </c>
      <c r="F34" s="7" t="s">
        <v>416</v>
      </c>
      <c r="G34" s="13"/>
      <c r="H34" s="4" t="s">
        <v>216</v>
      </c>
      <c r="I34" s="9" t="s">
        <v>443</v>
      </c>
      <c r="K34" s="12" t="s">
        <v>216</v>
      </c>
      <c r="L34" s="10"/>
    </row>
    <row r="35" spans="5:12">
      <c r="G35" s="13"/>
      <c r="H35" s="4" t="s">
        <v>453</v>
      </c>
      <c r="I35" s="9" t="s">
        <v>443</v>
      </c>
      <c r="K35" s="11" t="s">
        <v>425</v>
      </c>
      <c r="L35" s="10"/>
    </row>
    <row r="36" spans="5:12">
      <c r="G36" s="13"/>
      <c r="H36" s="4" t="s">
        <v>426</v>
      </c>
      <c r="I36" s="9" t="s">
        <v>443</v>
      </c>
      <c r="K36" s="12" t="s">
        <v>426</v>
      </c>
      <c r="L36" s="10"/>
    </row>
    <row r="37" spans="5:12">
      <c r="G37" s="13"/>
      <c r="H37" s="4" t="s">
        <v>421</v>
      </c>
      <c r="I37" s="9" t="s">
        <v>444</v>
      </c>
      <c r="K37" s="11" t="s">
        <v>421</v>
      </c>
      <c r="L37" s="10"/>
    </row>
    <row r="38" spans="5:12">
      <c r="G38" s="13"/>
      <c r="H38" s="4" t="s">
        <v>428</v>
      </c>
      <c r="I38" s="9" t="s">
        <v>444</v>
      </c>
      <c r="K38" s="12" t="s">
        <v>428</v>
      </c>
      <c r="L38" s="10"/>
    </row>
    <row r="39" spans="5:12">
      <c r="G39" s="13"/>
      <c r="H39" s="4" t="s">
        <v>82</v>
      </c>
      <c r="I39" s="9" t="s">
        <v>444</v>
      </c>
      <c r="K39" s="11" t="s">
        <v>82</v>
      </c>
      <c r="L39" s="10"/>
    </row>
    <row r="40" spans="5:12">
      <c r="G40" s="13"/>
      <c r="H40" s="4" t="s">
        <v>51</v>
      </c>
      <c r="I40" s="9" t="s">
        <v>444</v>
      </c>
      <c r="K40" s="12" t="s">
        <v>51</v>
      </c>
      <c r="L40" s="10"/>
    </row>
    <row r="41" spans="5:12">
      <c r="G41" s="13"/>
      <c r="H41" s="4" t="s">
        <v>186</v>
      </c>
      <c r="I41" s="9" t="s">
        <v>445</v>
      </c>
      <c r="K41" s="11" t="s">
        <v>186</v>
      </c>
      <c r="L41" s="10"/>
    </row>
    <row r="42" spans="5:12">
      <c r="G42" s="13"/>
      <c r="H42" s="4" t="s">
        <v>107</v>
      </c>
      <c r="I42" s="9" t="s">
        <v>445</v>
      </c>
      <c r="K42" s="12" t="s">
        <v>107</v>
      </c>
      <c r="L42" s="10"/>
    </row>
    <row r="43" spans="5:12">
      <c r="G43" s="13"/>
      <c r="H43" s="4" t="s">
        <v>235</v>
      </c>
      <c r="I43" s="9" t="s">
        <v>445</v>
      </c>
      <c r="K43" s="11" t="s">
        <v>235</v>
      </c>
      <c r="L43" s="10"/>
    </row>
    <row r="44" spans="5:12">
      <c r="G44" s="13"/>
      <c r="H44" s="4" t="s">
        <v>206</v>
      </c>
      <c r="I44" s="9" t="s">
        <v>445</v>
      </c>
      <c r="K44" s="12" t="s">
        <v>206</v>
      </c>
      <c r="L44" s="10"/>
    </row>
    <row r="45" spans="5:12">
      <c r="G45" s="13"/>
      <c r="H45" s="4" t="s">
        <v>454</v>
      </c>
      <c r="I45" s="9" t="s">
        <v>445</v>
      </c>
      <c r="K45" s="11" t="s">
        <v>84</v>
      </c>
      <c r="L45" s="10"/>
    </row>
    <row r="46" spans="5:12">
      <c r="G46" s="13"/>
      <c r="H46" s="4" t="s">
        <v>63</v>
      </c>
      <c r="I46" s="9" t="s">
        <v>445</v>
      </c>
      <c r="K46" s="12" t="s">
        <v>63</v>
      </c>
      <c r="L46" s="10"/>
    </row>
    <row r="47" spans="5:12">
      <c r="G47" s="13"/>
      <c r="H47" s="4" t="s">
        <v>309</v>
      </c>
      <c r="I47" s="9" t="s">
        <v>446</v>
      </c>
      <c r="K47" s="11" t="s">
        <v>309</v>
      </c>
      <c r="L47" s="10"/>
    </row>
    <row r="48" spans="5:12">
      <c r="G48" s="13"/>
      <c r="H48" s="4" t="s">
        <v>363</v>
      </c>
      <c r="I48" s="9" t="s">
        <v>446</v>
      </c>
      <c r="K48" s="12" t="s">
        <v>363</v>
      </c>
      <c r="L48" s="10"/>
    </row>
    <row r="49" spans="7:12">
      <c r="G49" s="13"/>
      <c r="H49" s="4" t="s">
        <v>429</v>
      </c>
      <c r="I49" s="9" t="s">
        <v>446</v>
      </c>
      <c r="K49" s="11" t="s">
        <v>429</v>
      </c>
      <c r="L49" s="10"/>
    </row>
    <row r="50" spans="7:12">
      <c r="G50" s="13"/>
      <c r="H50" s="4" t="s">
        <v>430</v>
      </c>
      <c r="I50" s="9" t="s">
        <v>446</v>
      </c>
      <c r="K50" s="12" t="s">
        <v>430</v>
      </c>
      <c r="L50" s="10"/>
    </row>
    <row r="51" spans="7:12">
      <c r="G51" s="13"/>
      <c r="H51" s="4" t="s">
        <v>120</v>
      </c>
      <c r="I51" s="9" t="s">
        <v>447</v>
      </c>
      <c r="K51" s="11" t="s">
        <v>120</v>
      </c>
      <c r="L51" s="10"/>
    </row>
    <row r="52" spans="7:12">
      <c r="G52" s="13"/>
      <c r="H52" s="4" t="s">
        <v>349</v>
      </c>
      <c r="I52" s="9" t="s">
        <v>447</v>
      </c>
      <c r="K52" s="12" t="s">
        <v>349</v>
      </c>
      <c r="L52" s="10"/>
    </row>
    <row r="53" spans="7:12">
      <c r="G53" s="13"/>
      <c r="H53" s="4" t="s">
        <v>340</v>
      </c>
      <c r="I53" s="9" t="s">
        <v>447</v>
      </c>
      <c r="K53" s="11" t="s">
        <v>340</v>
      </c>
      <c r="L53" s="10"/>
    </row>
    <row r="54" spans="7:12">
      <c r="G54" s="13"/>
      <c r="H54" s="4" t="s">
        <v>91</v>
      </c>
      <c r="I54" s="9" t="s">
        <v>447</v>
      </c>
      <c r="K54" s="12" t="s">
        <v>91</v>
      </c>
      <c r="L54" s="10"/>
    </row>
    <row r="55" spans="7:12">
      <c r="G55" s="13"/>
      <c r="H55" s="4" t="s">
        <v>431</v>
      </c>
      <c r="I55" s="9" t="s">
        <v>448</v>
      </c>
      <c r="K55" s="11" t="s">
        <v>431</v>
      </c>
      <c r="L55" s="10"/>
    </row>
    <row r="56" spans="7:12">
      <c r="G56" s="13"/>
      <c r="H56" s="4" t="s">
        <v>357</v>
      </c>
      <c r="I56" s="9" t="s">
        <v>448</v>
      </c>
      <c r="K56" s="12" t="s">
        <v>357</v>
      </c>
      <c r="L56" s="10"/>
    </row>
    <row r="57" spans="7:12">
      <c r="G57" s="13"/>
      <c r="H57" s="4" t="s">
        <v>432</v>
      </c>
      <c r="I57" s="9" t="s">
        <v>448</v>
      </c>
      <c r="K57" s="11" t="s">
        <v>432</v>
      </c>
      <c r="L57" s="10"/>
    </row>
    <row r="58" spans="7:12">
      <c r="G58" s="13"/>
      <c r="H58" s="4" t="s">
        <v>433</v>
      </c>
      <c r="I58" s="9" t="s">
        <v>448</v>
      </c>
      <c r="K58" s="12" t="s">
        <v>433</v>
      </c>
      <c r="L58" s="10"/>
    </row>
    <row r="59" spans="7:12">
      <c r="G59" s="13"/>
      <c r="H59" s="4" t="s">
        <v>114</v>
      </c>
      <c r="I59" s="9" t="s">
        <v>448</v>
      </c>
      <c r="K59" s="11" t="s">
        <v>114</v>
      </c>
      <c r="L59" s="10"/>
    </row>
    <row r="60" spans="7:12">
      <c r="G60" s="13"/>
      <c r="H60" s="4" t="s">
        <v>304</v>
      </c>
      <c r="I60" s="9" t="s">
        <v>449</v>
      </c>
      <c r="K60" s="12" t="s">
        <v>304</v>
      </c>
      <c r="L60" s="10"/>
    </row>
    <row r="61" spans="7:12">
      <c r="G61" s="13"/>
      <c r="H61" s="4" t="s">
        <v>101</v>
      </c>
      <c r="I61" s="9" t="s">
        <v>449</v>
      </c>
      <c r="K61" s="11" t="s">
        <v>101</v>
      </c>
      <c r="L61" s="10"/>
    </row>
    <row r="62" spans="7:12">
      <c r="G62" s="13"/>
      <c r="H62" s="4" t="s">
        <v>434</v>
      </c>
      <c r="I62" s="9" t="s">
        <v>449</v>
      </c>
      <c r="K62" s="12" t="s">
        <v>434</v>
      </c>
      <c r="L62" s="10"/>
    </row>
    <row r="63" spans="7:12">
      <c r="G63" s="13"/>
      <c r="H63" s="4" t="s">
        <v>320</v>
      </c>
      <c r="I63" s="9" t="s">
        <v>449</v>
      </c>
      <c r="K63" s="11" t="s">
        <v>320</v>
      </c>
      <c r="L63" s="10"/>
    </row>
    <row r="64" spans="7:12">
      <c r="G64" s="13"/>
      <c r="H64" s="4" t="s">
        <v>57</v>
      </c>
      <c r="I64" s="9" t="s">
        <v>449</v>
      </c>
      <c r="K64" s="12" t="s">
        <v>57</v>
      </c>
      <c r="L64" s="10"/>
    </row>
    <row r="65" spans="7:12">
      <c r="G65" s="13"/>
      <c r="H65" s="4" t="s">
        <v>81</v>
      </c>
      <c r="I65" s="9" t="s">
        <v>450</v>
      </c>
      <c r="K65" s="11" t="s">
        <v>81</v>
      </c>
      <c r="L65" s="10"/>
    </row>
    <row r="66" spans="7:12">
      <c r="G66" s="13"/>
      <c r="H66" s="4" t="s">
        <v>139</v>
      </c>
      <c r="I66" s="9" t="s">
        <v>450</v>
      </c>
      <c r="K66" s="12" t="s">
        <v>139</v>
      </c>
      <c r="L66" s="10"/>
    </row>
    <row r="67" spans="7:12">
      <c r="G67" s="13"/>
      <c r="H67" s="4" t="s">
        <v>319</v>
      </c>
      <c r="I67" s="9" t="s">
        <v>450</v>
      </c>
      <c r="K67" s="11" t="s">
        <v>319</v>
      </c>
      <c r="L67" s="10"/>
    </row>
    <row r="68" spans="7:12">
      <c r="G68" s="13"/>
      <c r="H68" s="4" t="s">
        <v>435</v>
      </c>
      <c r="I68" s="9" t="s">
        <v>450</v>
      </c>
      <c r="K68" s="12" t="s">
        <v>435</v>
      </c>
      <c r="L68" s="10"/>
    </row>
    <row r="69" spans="7:12">
      <c r="G69" s="13"/>
      <c r="H69" s="4" t="s">
        <v>321</v>
      </c>
      <c r="I69" s="9" t="s">
        <v>452</v>
      </c>
      <c r="K69" s="11" t="s">
        <v>321</v>
      </c>
      <c r="L69" s="10"/>
    </row>
    <row r="70" spans="7:12">
      <c r="G70" s="13"/>
      <c r="H70" s="4" t="s">
        <v>69</v>
      </c>
      <c r="I70" s="9" t="s">
        <v>452</v>
      </c>
      <c r="K70" s="12" t="s">
        <v>69</v>
      </c>
      <c r="L70" s="10"/>
    </row>
    <row r="71" spans="7:12">
      <c r="G71" s="13"/>
      <c r="H71" s="4" t="s">
        <v>436</v>
      </c>
      <c r="I71" s="9" t="s">
        <v>452</v>
      </c>
      <c r="K71" s="11" t="s">
        <v>436</v>
      </c>
      <c r="L71" s="10"/>
    </row>
    <row r="72" spans="7:12">
      <c r="G72" s="13"/>
      <c r="H72" s="4" t="s">
        <v>437</v>
      </c>
      <c r="I72" s="9" t="s">
        <v>452</v>
      </c>
      <c r="K72" s="12" t="s">
        <v>437</v>
      </c>
      <c r="L72" s="10"/>
    </row>
    <row r="73" spans="7:12">
      <c r="G73" s="13"/>
      <c r="H73" s="4" t="s">
        <v>438</v>
      </c>
      <c r="I73" s="9" t="s">
        <v>451</v>
      </c>
      <c r="K73" s="11" t="s">
        <v>438</v>
      </c>
      <c r="L73" s="10"/>
    </row>
    <row r="74" spans="7:12">
      <c r="G74" s="13"/>
      <c r="H74" s="4" t="s">
        <v>439</v>
      </c>
      <c r="I74" s="9" t="s">
        <v>451</v>
      </c>
      <c r="K74" s="12" t="s">
        <v>439</v>
      </c>
      <c r="L74" s="10"/>
    </row>
    <row r="75" spans="7:12">
      <c r="G75" s="13"/>
      <c r="H75" s="4" t="s">
        <v>440</v>
      </c>
      <c r="I75" s="9" t="s">
        <v>451</v>
      </c>
      <c r="K75" s="11" t="s">
        <v>440</v>
      </c>
      <c r="L75" s="10"/>
    </row>
    <row r="76" spans="7:12">
      <c r="G76" s="13"/>
      <c r="H76" s="4" t="s">
        <v>441</v>
      </c>
      <c r="I76" s="9" t="s">
        <v>451</v>
      </c>
      <c r="K76" s="12" t="s">
        <v>441</v>
      </c>
      <c r="L76" s="10"/>
    </row>
    <row r="77" spans="7:12">
      <c r="G77" s="13"/>
      <c r="H77" s="4" t="s">
        <v>71</v>
      </c>
      <c r="I77" s="9" t="s">
        <v>451</v>
      </c>
      <c r="K77" s="11" t="s">
        <v>71</v>
      </c>
      <c r="L77" s="10"/>
    </row>
    <row r="78" spans="7:12">
      <c r="G78" s="13"/>
      <c r="H78" s="4" t="s">
        <v>74</v>
      </c>
      <c r="I78" s="9" t="s">
        <v>451</v>
      </c>
      <c r="K78" s="12" t="s">
        <v>74</v>
      </c>
      <c r="L78" s="10"/>
    </row>
    <row r="79" spans="7:12">
      <c r="G79" s="13"/>
      <c r="H79" s="4" t="s">
        <v>442</v>
      </c>
      <c r="I79" s="9" t="s">
        <v>451</v>
      </c>
      <c r="K79" s="11" t="s">
        <v>442</v>
      </c>
      <c r="L79" s="10"/>
    </row>
    <row r="80" spans="7:12">
      <c r="G80" s="13"/>
      <c r="K80" s="10"/>
      <c r="L80" s="10"/>
    </row>
    <row r="81" spans="8:12">
      <c r="H81" s="13"/>
      <c r="K81" s="10"/>
      <c r="L81" s="10"/>
    </row>
    <row r="82" spans="8:12">
      <c r="H82" s="13"/>
      <c r="K82" s="10"/>
      <c r="L82" s="10"/>
    </row>
    <row r="83" spans="8:12">
      <c r="H83" s="13"/>
      <c r="K83" s="10"/>
      <c r="L83" s="10"/>
    </row>
    <row r="84" spans="8:12">
      <c r="H84" s="13"/>
      <c r="K84" s="10"/>
      <c r="L84" s="10"/>
    </row>
    <row r="85" spans="8:12">
      <c r="H85" s="13"/>
      <c r="K85" s="10"/>
      <c r="L85" s="10"/>
    </row>
    <row r="86" spans="8:12">
      <c r="H86" s="13"/>
      <c r="K86" s="10"/>
      <c r="L86" s="10"/>
    </row>
    <row r="87" spans="8:12">
      <c r="H87" s="13"/>
      <c r="K87" s="10"/>
      <c r="L87" s="10"/>
    </row>
    <row r="88" spans="8:12">
      <c r="H88" s="13"/>
      <c r="K88" s="10"/>
      <c r="L88" s="10"/>
    </row>
    <row r="89" spans="8:12">
      <c r="H89" s="13"/>
      <c r="K89" s="10"/>
      <c r="L89" s="10"/>
    </row>
    <row r="90" spans="8:12">
      <c r="H90" s="13"/>
      <c r="K90" s="10"/>
      <c r="L90" s="10"/>
    </row>
    <row r="91" spans="8:12">
      <c r="H91" s="13"/>
      <c r="K91" s="10"/>
      <c r="L91" s="10"/>
    </row>
    <row r="92" spans="8:12">
      <c r="H92" s="13"/>
      <c r="K92" s="10"/>
      <c r="L92" s="10"/>
    </row>
    <row r="93" spans="8:12">
      <c r="H93" s="13"/>
      <c r="K93" s="10"/>
      <c r="L93" s="10"/>
    </row>
    <row r="94" spans="8:12">
      <c r="H94" s="13"/>
      <c r="K94" s="10"/>
      <c r="L94" s="10"/>
    </row>
    <row r="95" spans="8:12">
      <c r="H95" s="13"/>
      <c r="K95" s="10"/>
      <c r="L95" s="10"/>
    </row>
    <row r="96" spans="8:12">
      <c r="H96" s="13"/>
      <c r="K96" s="10"/>
      <c r="L96" s="10"/>
    </row>
    <row r="97" spans="8:12">
      <c r="H97" s="13"/>
      <c r="K97" s="10"/>
      <c r="L97" s="10"/>
    </row>
    <row r="98" spans="8:12">
      <c r="H98" s="13"/>
      <c r="K98" s="10"/>
      <c r="L98" s="10"/>
    </row>
    <row r="99" spans="8:12">
      <c r="H99" s="13"/>
      <c r="K99" s="10"/>
      <c r="L99" s="10"/>
    </row>
    <row r="100" spans="8:12">
      <c r="H100" s="13"/>
      <c r="K100" s="10"/>
      <c r="L100" s="10"/>
    </row>
    <row r="101" spans="8:12">
      <c r="H101" s="13"/>
      <c r="K101" s="10"/>
      <c r="L101" s="10"/>
    </row>
    <row r="102" spans="8:12">
      <c r="H102" s="13"/>
      <c r="K102" s="10"/>
      <c r="L102" s="10"/>
    </row>
    <row r="103" spans="8:12">
      <c r="H103" s="13"/>
      <c r="K103" s="10"/>
      <c r="L103" s="10"/>
    </row>
    <row r="104" spans="8:12">
      <c r="H104" s="13"/>
      <c r="K104" s="10"/>
      <c r="L104" s="10"/>
    </row>
    <row r="105" spans="8:12">
      <c r="H105" s="13"/>
      <c r="K105" s="10"/>
      <c r="L105" s="10"/>
    </row>
    <row r="106" spans="8:12">
      <c r="H106" s="13"/>
      <c r="K106" s="10"/>
      <c r="L106" s="10"/>
    </row>
    <row r="107" spans="8:12">
      <c r="H107" s="13"/>
      <c r="K107" s="10"/>
      <c r="L107" s="10"/>
    </row>
    <row r="108" spans="8:12">
      <c r="H108" s="13"/>
      <c r="K108" s="10"/>
      <c r="L108" s="10"/>
    </row>
    <row r="109" spans="8:12">
      <c r="H109" s="13"/>
      <c r="K109" s="10"/>
      <c r="L109" s="10"/>
    </row>
    <row r="110" spans="8:12">
      <c r="H110" s="13"/>
      <c r="K110" s="10"/>
      <c r="L110" s="10"/>
    </row>
    <row r="111" spans="8:12">
      <c r="H111" s="13"/>
      <c r="K111" s="10"/>
      <c r="L111" s="10"/>
    </row>
    <row r="112" spans="8:12">
      <c r="H112" s="13"/>
      <c r="K112" s="10"/>
      <c r="L112" s="10"/>
    </row>
    <row r="113" spans="11:12">
      <c r="K113" s="10"/>
      <c r="L113" s="10"/>
    </row>
    <row r="114" spans="11:12">
      <c r="K114" s="10"/>
      <c r="L114" s="10"/>
    </row>
    <row r="115" spans="11:12">
      <c r="K115" s="10"/>
      <c r="L115" s="10"/>
    </row>
    <row r="116" spans="11:12">
      <c r="K116" s="10"/>
      <c r="L116" s="10"/>
    </row>
    <row r="117" spans="11:12">
      <c r="K117" s="10"/>
      <c r="L117" s="10"/>
    </row>
    <row r="118" spans="11:12">
      <c r="K118" s="10"/>
      <c r="L118" s="10"/>
    </row>
    <row r="119" spans="11:12">
      <c r="K119" s="10"/>
      <c r="L119" s="10"/>
    </row>
    <row r="120" spans="11:12">
      <c r="K120" s="10"/>
      <c r="L120" s="10"/>
    </row>
    <row r="121" spans="11:12">
      <c r="K121" s="10"/>
      <c r="L121" s="10"/>
    </row>
    <row r="122" spans="11:12">
      <c r="K122" s="10"/>
      <c r="L122" s="10"/>
    </row>
    <row r="123" spans="11:12">
      <c r="K123" s="10"/>
      <c r="L123" s="10"/>
    </row>
    <row r="124" spans="11:12">
      <c r="K124" s="10"/>
      <c r="L124" s="10"/>
    </row>
    <row r="125" spans="11:12">
      <c r="K125" s="10"/>
      <c r="L125" s="10"/>
    </row>
    <row r="126" spans="11:12">
      <c r="K126" s="10"/>
      <c r="L126" s="10"/>
    </row>
    <row r="127" spans="11:12">
      <c r="K127" s="10"/>
      <c r="L127" s="10"/>
    </row>
    <row r="128" spans="11:12">
      <c r="K128" s="10"/>
      <c r="L128" s="10"/>
    </row>
  </sheetData>
  <dataValidations count="1">
    <dataValidation type="list" allowBlank="1" showInputMessage="1" showErrorMessage="1" sqref="B4">
      <formula1>$K$29:$K$79</formula1>
    </dataValidation>
  </dataValidations>
  <pageMargins left="0.7" right="0.7" top="0.75" bottom="0.75" header="0.3" footer="0.3"/>
  <tableParts count="3"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H120"/>
  <sheetViews>
    <sheetView zoomScale="82" zoomScaleNormal="107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BH4" sqref="BH4"/>
    </sheetView>
  </sheetViews>
  <sheetFormatPr defaultColWidth="8.90625" defaultRowHeight="14.5"/>
  <cols>
    <col min="1" max="1" width="8" customWidth="1"/>
    <col min="2" max="2" width="20.36328125" customWidth="1"/>
    <col min="3" max="3" width="18" hidden="1" customWidth="1"/>
    <col min="4" max="4" width="8.453125" customWidth="1"/>
    <col min="5" max="5" width="10.453125" customWidth="1"/>
    <col min="6" max="6" width="9.90625" customWidth="1"/>
    <col min="7" max="7" width="8.36328125" customWidth="1"/>
    <col min="8" max="8" width="8.453125" customWidth="1"/>
    <col min="9" max="9" width="10.453125" customWidth="1"/>
    <col min="10" max="10" width="14.6328125" hidden="1" customWidth="1"/>
    <col min="11" max="11" width="12.08984375" hidden="1" customWidth="1"/>
    <col min="12" max="12" width="14.36328125" style="166" customWidth="1"/>
    <col min="13" max="13" width="12" style="161" bestFit="1" customWidth="1"/>
    <col min="14" max="14" width="12.36328125" customWidth="1"/>
    <col min="15" max="15" width="11.36328125" style="161" bestFit="1" customWidth="1"/>
    <col min="16" max="16" width="14" hidden="1" customWidth="1"/>
    <col min="17" max="17" width="12.90625" hidden="1" customWidth="1"/>
    <col min="18" max="19" width="20" hidden="1" customWidth="1"/>
    <col min="20" max="20" width="15.08984375" customWidth="1"/>
    <col min="21" max="21" width="15.08984375" style="161" customWidth="1"/>
    <col min="22" max="22" width="15.6328125" customWidth="1"/>
    <col min="23" max="23" width="17.6328125" customWidth="1"/>
    <col min="24" max="24" width="15.6328125" customWidth="1"/>
    <col min="25" max="25" width="12.36328125" style="161" customWidth="1"/>
    <col min="26" max="26" width="11" hidden="1" customWidth="1"/>
    <col min="27" max="27" width="12.36328125" customWidth="1"/>
    <col min="28" max="28" width="10.453125" customWidth="1"/>
    <col min="29" max="29" width="12.6328125" customWidth="1"/>
    <col min="30" max="30" width="13.453125" style="161" customWidth="1"/>
    <col min="31" max="31" width="15" customWidth="1"/>
    <col min="32" max="32" width="13.453125" customWidth="1"/>
    <col min="33" max="33" width="13.453125" style="161" customWidth="1"/>
    <col min="34" max="35" width="20" customWidth="1"/>
    <col min="36" max="36" width="15.36328125" customWidth="1"/>
    <col min="37" max="37" width="14.453125" customWidth="1"/>
    <col min="38" max="38" width="16.36328125" customWidth="1"/>
    <col min="39" max="40" width="20" hidden="1" customWidth="1"/>
    <col min="41" max="41" width="16.6328125" hidden="1" customWidth="1"/>
    <col min="42" max="42" width="14.453125" hidden="1" customWidth="1"/>
    <col min="43" max="43" width="18" hidden="1" customWidth="1"/>
    <col min="44" max="44" width="15" customWidth="1"/>
    <col min="45" max="46" width="20" hidden="1" customWidth="1"/>
    <col min="47" max="47" width="20" customWidth="1"/>
    <col min="48" max="48" width="14.6328125" customWidth="1"/>
    <col min="49" max="49" width="8.08984375" style="161" bestFit="1" customWidth="1"/>
    <col min="50" max="50" width="16.453125" style="161" bestFit="1" customWidth="1"/>
    <col min="55" max="55" width="10.08984375" customWidth="1"/>
    <col min="56" max="56" width="27.36328125" customWidth="1"/>
  </cols>
  <sheetData>
    <row r="1" spans="1:60" ht="16" thickBot="1">
      <c r="A1" s="1" t="s">
        <v>500</v>
      </c>
    </row>
    <row r="2" spans="1:60" ht="60" customHeight="1" thickBot="1">
      <c r="A2" s="63" t="s">
        <v>0</v>
      </c>
      <c r="B2" s="63" t="s">
        <v>1</v>
      </c>
      <c r="C2" s="63" t="s">
        <v>2</v>
      </c>
      <c r="D2" s="63" t="s">
        <v>3</v>
      </c>
      <c r="E2" s="63" t="s">
        <v>4</v>
      </c>
      <c r="F2" s="63" t="s">
        <v>5</v>
      </c>
      <c r="G2" s="63" t="s">
        <v>6</v>
      </c>
      <c r="H2" s="63" t="s">
        <v>7</v>
      </c>
      <c r="I2" s="63" t="s">
        <v>8</v>
      </c>
      <c r="J2" s="63" t="s">
        <v>9</v>
      </c>
      <c r="K2" s="63" t="s">
        <v>10</v>
      </c>
      <c r="L2" s="167" t="s">
        <v>11</v>
      </c>
      <c r="M2" s="163" t="s">
        <v>456</v>
      </c>
      <c r="N2" s="63" t="s">
        <v>12</v>
      </c>
      <c r="O2" s="163" t="s">
        <v>457</v>
      </c>
      <c r="P2" s="63" t="s">
        <v>13</v>
      </c>
      <c r="Q2" s="63" t="s">
        <v>14</v>
      </c>
      <c r="R2" s="63" t="s">
        <v>15</v>
      </c>
      <c r="S2" s="63" t="s">
        <v>16</v>
      </c>
      <c r="T2" s="63" t="s">
        <v>17</v>
      </c>
      <c r="U2" s="216" t="s">
        <v>472</v>
      </c>
      <c r="V2" s="63" t="s">
        <v>18</v>
      </c>
      <c r="W2" s="63" t="s">
        <v>19</v>
      </c>
      <c r="X2" s="63" t="s">
        <v>20</v>
      </c>
      <c r="Y2" s="216" t="s">
        <v>473</v>
      </c>
      <c r="Z2" s="63" t="s">
        <v>21</v>
      </c>
      <c r="AA2" s="216" t="s">
        <v>22</v>
      </c>
      <c r="AB2" s="63" t="s">
        <v>23</v>
      </c>
      <c r="AC2" s="216" t="s">
        <v>24</v>
      </c>
      <c r="AD2" s="163"/>
      <c r="AE2" s="63" t="s">
        <v>25</v>
      </c>
      <c r="AF2" s="63" t="s">
        <v>26</v>
      </c>
      <c r="AG2" s="216" t="s">
        <v>474</v>
      </c>
      <c r="AH2" s="63" t="s">
        <v>27</v>
      </c>
      <c r="AI2" s="63" t="s">
        <v>28</v>
      </c>
      <c r="AJ2" s="63" t="s">
        <v>29</v>
      </c>
      <c r="AK2" s="63" t="s">
        <v>30</v>
      </c>
      <c r="AL2" s="63" t="s">
        <v>31</v>
      </c>
      <c r="AM2" s="63" t="s">
        <v>32</v>
      </c>
      <c r="AN2" s="63" t="s">
        <v>33</v>
      </c>
      <c r="AO2" s="63" t="s">
        <v>34</v>
      </c>
      <c r="AP2" s="63" t="s">
        <v>35</v>
      </c>
      <c r="AQ2" s="63" t="s">
        <v>36</v>
      </c>
      <c r="AR2" s="63" t="s">
        <v>37</v>
      </c>
      <c r="AS2" s="63" t="s">
        <v>38</v>
      </c>
      <c r="AT2" s="63" t="s">
        <v>39</v>
      </c>
      <c r="AU2" s="63" t="s">
        <v>40</v>
      </c>
      <c r="AV2" s="63" t="s">
        <v>41</v>
      </c>
      <c r="AW2" s="162" t="s">
        <v>455</v>
      </c>
      <c r="AX2" s="162" t="s">
        <v>402</v>
      </c>
      <c r="BA2" s="253"/>
      <c r="BB2" s="254" t="s">
        <v>483</v>
      </c>
      <c r="BC2" s="255" t="s">
        <v>485</v>
      </c>
      <c r="BD2" s="254" t="s">
        <v>484</v>
      </c>
      <c r="BE2" s="256" t="s">
        <v>400</v>
      </c>
    </row>
    <row r="3" spans="1:60" s="68" customFormat="1" ht="26.15" customHeight="1">
      <c r="A3" s="64" t="s">
        <v>222</v>
      </c>
      <c r="B3" s="65" t="s">
        <v>223</v>
      </c>
      <c r="C3" s="65" t="s">
        <v>44</v>
      </c>
      <c r="D3" s="66">
        <v>41639</v>
      </c>
      <c r="E3" s="65" t="s">
        <v>224</v>
      </c>
      <c r="F3" s="65" t="s">
        <v>225</v>
      </c>
      <c r="G3" s="67">
        <v>0</v>
      </c>
      <c r="H3" s="65" t="s">
        <v>226</v>
      </c>
      <c r="I3" s="67">
        <v>100</v>
      </c>
      <c r="J3" s="65" t="s">
        <v>49</v>
      </c>
      <c r="K3" s="65" t="s">
        <v>49</v>
      </c>
      <c r="L3" s="168">
        <v>602980</v>
      </c>
      <c r="M3" s="199" t="str">
        <f>VLOOKUP(L3,Table2[#All],2,TRUE)</f>
        <v>AreaE</v>
      </c>
      <c r="N3" s="67">
        <v>416.06</v>
      </c>
      <c r="O3" s="164" t="str">
        <f>VLOOKUP(N3,Table1[#All],2,TRUE)</f>
        <v>BedC</v>
      </c>
      <c r="P3" s="67">
        <v>1</v>
      </c>
      <c r="Q3" s="65" t="s">
        <v>50</v>
      </c>
      <c r="R3" s="65" t="s">
        <v>47</v>
      </c>
      <c r="S3" s="65" t="s">
        <v>47</v>
      </c>
      <c r="T3" s="67">
        <v>6210737.9000000004</v>
      </c>
      <c r="U3" s="208">
        <v>-178817.70000000019</v>
      </c>
      <c r="V3" s="65" t="s">
        <v>47</v>
      </c>
      <c r="W3" s="67">
        <v>6210739</v>
      </c>
      <c r="X3" s="67">
        <v>860167.10149999999</v>
      </c>
      <c r="Y3" s="208">
        <v>-39703.329400000046</v>
      </c>
      <c r="Z3" s="65" t="s">
        <v>47</v>
      </c>
      <c r="AA3" s="67">
        <v>99</v>
      </c>
      <c r="AB3" s="67">
        <v>182.9</v>
      </c>
      <c r="AC3" s="67">
        <v>110304374.40000001</v>
      </c>
      <c r="AD3" s="200">
        <v>-6.4616090846815633E-2</v>
      </c>
      <c r="AE3" s="67">
        <v>111307476.7</v>
      </c>
      <c r="AF3" s="67">
        <v>188.2</v>
      </c>
      <c r="AG3" s="200">
        <v>2.4870466321243581E-2</v>
      </c>
      <c r="AH3" s="65" t="s">
        <v>47</v>
      </c>
      <c r="AI3" s="65" t="s">
        <v>47</v>
      </c>
      <c r="AJ3" s="65" t="s">
        <v>47</v>
      </c>
      <c r="AK3" s="65" t="s">
        <v>47</v>
      </c>
      <c r="AL3" s="65" t="s">
        <v>47</v>
      </c>
      <c r="AM3" s="65" t="s">
        <v>47</v>
      </c>
      <c r="AN3" s="67">
        <v>0</v>
      </c>
      <c r="AO3" s="67">
        <v>0</v>
      </c>
      <c r="AP3" s="67">
        <v>0</v>
      </c>
      <c r="AQ3" s="67">
        <v>0</v>
      </c>
      <c r="AR3" s="67">
        <v>6593.2</v>
      </c>
      <c r="AS3" s="67">
        <v>4798.6000000000004</v>
      </c>
      <c r="AT3" s="67">
        <v>1794.7</v>
      </c>
      <c r="AU3" s="67">
        <v>6593.2</v>
      </c>
      <c r="AV3" s="65" t="s">
        <v>216</v>
      </c>
      <c r="AW3" s="165" t="str">
        <f>VLOOKUP(AV3,Table3[#All],2,FALSE)</f>
        <v>Region1</v>
      </c>
      <c r="AX3" s="161" t="str">
        <f>IF(Key!$B$1&gt;0,CONCATENATE(O3,AW3),CONCATENATE(M3,AW3))</f>
        <v>AreaERegion1</v>
      </c>
      <c r="BA3" s="262" t="s">
        <v>443</v>
      </c>
      <c r="BB3" s="257">
        <f>COUNTIF(AW:AW,BA3)</f>
        <v>11</v>
      </c>
      <c r="BC3" s="258">
        <f>MAX(IF(AW:AW=BA3,AG:AG))</f>
        <v>0.35117773019271897</v>
      </c>
      <c r="BD3" s="259" t="str">
        <f>INDEX(B:B,MATCH(BC3,AG:AG,0))</f>
        <v>Russell Regional Hospital</v>
      </c>
      <c r="BE3" s="259" t="str">
        <f>INDEX(AV:AV,MATCH(BC3,AG:AG,0))</f>
        <v>Kansas</v>
      </c>
      <c r="BH3" s="234">
        <f>MAX(IF(AW3:AW120=BA3,AG3:AG120))</f>
        <v>0.35117773019271897</v>
      </c>
    </row>
    <row r="4" spans="1:60" s="70" customFormat="1" ht="30" customHeight="1">
      <c r="A4" s="71">
        <v>28405</v>
      </c>
      <c r="B4" s="44" t="s">
        <v>223</v>
      </c>
      <c r="C4" s="44" t="s">
        <v>44</v>
      </c>
      <c r="D4" s="48">
        <v>39447</v>
      </c>
      <c r="E4" s="44" t="s">
        <v>224</v>
      </c>
      <c r="F4" s="44">
        <v>10605</v>
      </c>
      <c r="G4" s="44">
        <v>0</v>
      </c>
      <c r="H4" s="44">
        <v>1930</v>
      </c>
      <c r="I4" s="44">
        <v>100</v>
      </c>
      <c r="J4" s="44" t="s">
        <v>49</v>
      </c>
      <c r="K4" s="44" t="s">
        <v>49</v>
      </c>
      <c r="L4" s="170">
        <v>602980</v>
      </c>
      <c r="M4" s="199" t="str">
        <f>VLOOKUP(L4,Table2[#All],2,TRUE)</f>
        <v>AreaE</v>
      </c>
      <c r="N4" s="44">
        <v>416.06</v>
      </c>
      <c r="O4" s="164" t="str">
        <f>VLOOKUP(N4,Table1[#All],2,TRUE)</f>
        <v>BedC</v>
      </c>
      <c r="P4" s="44">
        <v>1</v>
      </c>
      <c r="Q4" s="44" t="s">
        <v>50</v>
      </c>
      <c r="R4" s="44" t="s">
        <v>47</v>
      </c>
      <c r="S4" s="44" t="s">
        <v>47</v>
      </c>
      <c r="T4" s="44">
        <v>6488139.4000000004</v>
      </c>
      <c r="U4" s="209">
        <v>-523900.20000000019</v>
      </c>
      <c r="V4" s="44" t="s">
        <v>47</v>
      </c>
      <c r="W4" s="44">
        <v>6488140</v>
      </c>
      <c r="X4" s="44">
        <v>671879.98640000005</v>
      </c>
      <c r="Y4" s="209">
        <v>128414.98329999996</v>
      </c>
      <c r="Z4" s="44" t="s">
        <v>47</v>
      </c>
      <c r="AA4" s="44">
        <v>99</v>
      </c>
      <c r="AB4" s="44">
        <v>189.9</v>
      </c>
      <c r="AC4" s="44">
        <v>114499532.40000001</v>
      </c>
      <c r="AD4" s="201">
        <v>6.3662623282587288E-2</v>
      </c>
      <c r="AE4" s="44">
        <v>115607430</v>
      </c>
      <c r="AF4" s="44">
        <v>189.9</v>
      </c>
      <c r="AG4" s="201">
        <v>6.3609467455621321E-2</v>
      </c>
      <c r="AH4" s="44" t="s">
        <v>47</v>
      </c>
      <c r="AI4" s="44" t="s">
        <v>47</v>
      </c>
      <c r="AJ4" s="44" t="s">
        <v>47</v>
      </c>
      <c r="AK4" s="44" t="s">
        <v>47</v>
      </c>
      <c r="AL4" s="44" t="s">
        <v>47</v>
      </c>
      <c r="AM4" s="44" t="s">
        <v>47</v>
      </c>
      <c r="AN4" s="44">
        <v>0</v>
      </c>
      <c r="AO4" s="44">
        <v>0</v>
      </c>
      <c r="AP4" s="44">
        <v>0</v>
      </c>
      <c r="AQ4" s="44">
        <v>0</v>
      </c>
      <c r="AR4" s="44">
        <v>7311.6</v>
      </c>
      <c r="AS4" s="44">
        <v>5436.8</v>
      </c>
      <c r="AT4" s="44">
        <v>1874.8</v>
      </c>
      <c r="AU4" s="44">
        <v>7311.6</v>
      </c>
      <c r="AV4" s="44" t="s">
        <v>216</v>
      </c>
      <c r="AW4" s="165" t="str">
        <f>VLOOKUP(AV4,Table3[#All],2,FALSE)</f>
        <v>Region1</v>
      </c>
      <c r="AX4" s="161" t="str">
        <f>IF(Key!$B$1&gt;0,CONCATENATE(O4,AW4),CONCATENATE(M4,AW4))</f>
        <v>AreaERegion1</v>
      </c>
      <c r="BA4" s="262" t="s">
        <v>444</v>
      </c>
      <c r="BB4" s="257">
        <f t="shared" ref="BB4:BB11" si="0">COUNTIF(AW:AW,BA4)</f>
        <v>5</v>
      </c>
      <c r="BC4" s="258">
        <f t="array" ref="BC4">MAX(IF(AW:AW=BA4,AG:AG))</f>
        <v>0.12591986917416184</v>
      </c>
      <c r="BD4" s="259" t="str">
        <f>INDEX(B:B,MATCH(BC4,AG:AG,0))</f>
        <v>Wellspan Surgery and Rehab Hospital</v>
      </c>
      <c r="BE4" s="259" t="str">
        <f t="shared" ref="BE4:BE12" si="1">INDEX(AV:AV,MATCH(BC4,AG:AG,0))</f>
        <v>Pennsylvania</v>
      </c>
      <c r="BH4" s="70">
        <f>MAX(IF(AW3:AW120=BA4,AG3:AG120))</f>
        <v>0</v>
      </c>
    </row>
    <row r="5" spans="1:60" s="70" customFormat="1" ht="29.5" thickBot="1">
      <c r="A5" s="72" t="s">
        <v>222</v>
      </c>
      <c r="B5" s="38" t="s">
        <v>223</v>
      </c>
      <c r="C5" s="38" t="s">
        <v>44</v>
      </c>
      <c r="D5" s="39">
        <v>39082</v>
      </c>
      <c r="E5" s="38" t="s">
        <v>224</v>
      </c>
      <c r="F5" s="38" t="s">
        <v>225</v>
      </c>
      <c r="G5" s="40">
        <v>0</v>
      </c>
      <c r="H5" s="38" t="s">
        <v>226</v>
      </c>
      <c r="I5" s="40">
        <v>100</v>
      </c>
      <c r="J5" s="38" t="s">
        <v>49</v>
      </c>
      <c r="K5" s="38" t="s">
        <v>49</v>
      </c>
      <c r="L5" s="171">
        <v>602980</v>
      </c>
      <c r="M5" s="199" t="str">
        <f>VLOOKUP(L5,Table2[#All],2,TRUE)</f>
        <v>AreaE</v>
      </c>
      <c r="N5" s="40">
        <v>416.06</v>
      </c>
      <c r="O5" s="164" t="str">
        <f>VLOOKUP(N5,Table1[#All],2,TRUE)</f>
        <v>BedC</v>
      </c>
      <c r="P5" s="40">
        <v>1</v>
      </c>
      <c r="Q5" s="38" t="s">
        <v>50</v>
      </c>
      <c r="R5" s="38" t="s">
        <v>47</v>
      </c>
      <c r="S5" s="38" t="s">
        <v>47</v>
      </c>
      <c r="T5" s="40">
        <v>5964239.2000000002</v>
      </c>
      <c r="U5" s="209">
        <v>-301119.90000000037</v>
      </c>
      <c r="V5" s="38" t="s">
        <v>47</v>
      </c>
      <c r="W5" s="40">
        <v>5964240</v>
      </c>
      <c r="X5" s="40">
        <v>800294.96970000002</v>
      </c>
      <c r="Y5" s="209">
        <v>-98045.766640000045</v>
      </c>
      <c r="Z5" s="38" t="s">
        <v>47</v>
      </c>
      <c r="AA5" s="40">
        <v>98</v>
      </c>
      <c r="AB5" s="40">
        <v>202.8</v>
      </c>
      <c r="AC5" s="40">
        <v>122284483.40000001</v>
      </c>
      <c r="AD5" s="201">
        <v>-6.1806146997628493E-2</v>
      </c>
      <c r="AE5" s="40">
        <v>123630590.90000001</v>
      </c>
      <c r="AF5" s="40">
        <v>202.8</v>
      </c>
      <c r="AG5" s="201">
        <v>-6.1780104712041942E-2</v>
      </c>
      <c r="AH5" s="38" t="s">
        <v>47</v>
      </c>
      <c r="AI5" s="38" t="s">
        <v>47</v>
      </c>
      <c r="AJ5" s="38" t="s">
        <v>47</v>
      </c>
      <c r="AK5" s="38" t="s">
        <v>47</v>
      </c>
      <c r="AL5" s="38" t="s">
        <v>47</v>
      </c>
      <c r="AM5" s="38" t="s">
        <v>47</v>
      </c>
      <c r="AN5" s="40">
        <v>0</v>
      </c>
      <c r="AO5" s="40">
        <v>0</v>
      </c>
      <c r="AP5" s="40">
        <v>0</v>
      </c>
      <c r="AQ5" s="40">
        <v>0</v>
      </c>
      <c r="AR5" s="40">
        <v>7599.7</v>
      </c>
      <c r="AS5" s="40">
        <v>5876.3</v>
      </c>
      <c r="AT5" s="40">
        <v>1723.4</v>
      </c>
      <c r="AU5" s="40">
        <v>7599.7</v>
      </c>
      <c r="AV5" s="38" t="s">
        <v>216</v>
      </c>
      <c r="AW5" s="165" t="str">
        <f>VLOOKUP(AV5,Table3[#All],2,FALSE)</f>
        <v>Region1</v>
      </c>
      <c r="AX5" s="161" t="str">
        <f>IF(Key!$B$1&gt;0,CONCATENATE(O5,AW5),CONCATENATE(M5,AW5))</f>
        <v>AreaERegion1</v>
      </c>
      <c r="BA5" s="262" t="s">
        <v>445</v>
      </c>
      <c r="BB5" s="257">
        <f t="shared" si="0"/>
        <v>21</v>
      </c>
      <c r="BC5" s="258">
        <f t="array" ref="BC5">MAX(IF(AW:AW=BA5,AG:AG))</f>
        <v>0.19701395650762743</v>
      </c>
      <c r="BD5" s="259" t="str">
        <f t="shared" ref="BD5:BD12" si="2">INDEX(B:B,MATCH(BC5,AG:AG,0))</f>
        <v>CHS Pineville</v>
      </c>
      <c r="BE5" s="259" t="str">
        <f t="shared" si="1"/>
        <v>North Carolina</v>
      </c>
    </row>
    <row r="6" spans="1:60" s="77" customFormat="1" ht="29.5" thickBot="1">
      <c r="A6" s="73" t="s">
        <v>144</v>
      </c>
      <c r="B6" s="74" t="s">
        <v>145</v>
      </c>
      <c r="C6" s="74" t="s">
        <v>44</v>
      </c>
      <c r="D6" s="75">
        <v>42735</v>
      </c>
      <c r="E6" s="74" t="s">
        <v>146</v>
      </c>
      <c r="F6" s="74" t="s">
        <v>147</v>
      </c>
      <c r="G6" s="76">
        <v>1</v>
      </c>
      <c r="H6" s="74" t="s">
        <v>148</v>
      </c>
      <c r="I6" s="76">
        <v>100</v>
      </c>
      <c r="J6" s="74" t="s">
        <v>49</v>
      </c>
      <c r="K6" s="74" t="s">
        <v>49</v>
      </c>
      <c r="L6" s="172">
        <v>146000</v>
      </c>
      <c r="M6" s="199" t="str">
        <f>VLOOKUP(L6,Table2[#All],2,TRUE)</f>
        <v>AreaB</v>
      </c>
      <c r="N6" s="76">
        <v>103.78</v>
      </c>
      <c r="O6" s="164" t="str">
        <f>VLOOKUP(N6,Table1[#All],2,TRUE)</f>
        <v>BedB</v>
      </c>
      <c r="P6" s="76">
        <v>0</v>
      </c>
      <c r="Q6" s="74" t="s">
        <v>50</v>
      </c>
      <c r="R6" s="74" t="s">
        <v>47</v>
      </c>
      <c r="S6" s="74" t="s">
        <v>47</v>
      </c>
      <c r="T6" s="76">
        <v>3822066.1</v>
      </c>
      <c r="U6" s="208">
        <v>319958.5</v>
      </c>
      <c r="V6" s="74" t="s">
        <v>47</v>
      </c>
      <c r="W6" s="76">
        <v>3822067</v>
      </c>
      <c r="X6" s="76">
        <v>177994.1961</v>
      </c>
      <c r="Y6" s="208">
        <v>38863.39360000001</v>
      </c>
      <c r="Z6" s="74" t="s">
        <v>47</v>
      </c>
      <c r="AA6" s="76">
        <v>51</v>
      </c>
      <c r="AB6" s="76">
        <v>211.2</v>
      </c>
      <c r="AC6" s="76">
        <v>30840310.600000001</v>
      </c>
      <c r="AD6" s="200">
        <v>0.13898011401351912</v>
      </c>
      <c r="AE6" s="76">
        <v>30511361</v>
      </c>
      <c r="AF6" s="76">
        <v>213.8</v>
      </c>
      <c r="AG6" s="200">
        <v>0.12591986917416184</v>
      </c>
      <c r="AH6" s="74" t="s">
        <v>47</v>
      </c>
      <c r="AI6" s="74" t="s">
        <v>47</v>
      </c>
      <c r="AJ6" s="76">
        <v>431329.03</v>
      </c>
      <c r="AK6" s="76">
        <v>2.95</v>
      </c>
      <c r="AL6" s="74" t="s">
        <v>47</v>
      </c>
      <c r="AM6" s="74" t="s">
        <v>47</v>
      </c>
      <c r="AN6" s="76">
        <v>0</v>
      </c>
      <c r="AO6" s="76">
        <v>0</v>
      </c>
      <c r="AP6" s="76">
        <v>0</v>
      </c>
      <c r="AQ6" s="76">
        <v>0</v>
      </c>
      <c r="AR6" s="76">
        <v>2266.6</v>
      </c>
      <c r="AS6" s="76">
        <v>945.4</v>
      </c>
      <c r="AT6" s="76">
        <v>1321.2</v>
      </c>
      <c r="AU6" s="76">
        <v>2266.6</v>
      </c>
      <c r="AV6" s="74" t="s">
        <v>51</v>
      </c>
      <c r="AW6" s="165" t="str">
        <f>VLOOKUP(AV6,Table3[#All],2,FALSE)</f>
        <v>Region2</v>
      </c>
      <c r="AX6" s="161" t="str">
        <f>IF(Key!$B$1&gt;0,CONCATENATE(O6,AW6),CONCATENATE(M6,AW6))</f>
        <v>AreaBRegion2</v>
      </c>
      <c r="BA6" s="262" t="s">
        <v>446</v>
      </c>
      <c r="BB6" s="257">
        <f t="shared" si="0"/>
        <v>2</v>
      </c>
      <c r="BC6" s="258">
        <f t="array" ref="BC6">MAX(IF(AW:AW=BA6,AG:AG))</f>
        <v>7.6627218934911173E-2</v>
      </c>
      <c r="BD6" s="259" t="str">
        <f t="shared" si="2"/>
        <v>UF Health Shands Cancer Hospital</v>
      </c>
      <c r="BE6" s="259" t="str">
        <f t="shared" si="1"/>
        <v>Florida</v>
      </c>
    </row>
    <row r="7" spans="1:60" s="77" customFormat="1" ht="32.15" customHeight="1" thickBot="1">
      <c r="A7" s="78" t="s">
        <v>300</v>
      </c>
      <c r="B7" s="79" t="s">
        <v>301</v>
      </c>
      <c r="C7" s="79" t="s">
        <v>44</v>
      </c>
      <c r="D7" s="80">
        <v>40178</v>
      </c>
      <c r="E7" s="79" t="s">
        <v>302</v>
      </c>
      <c r="F7" s="79" t="s">
        <v>303</v>
      </c>
      <c r="G7" s="81">
        <v>42</v>
      </c>
      <c r="H7" s="79" t="s">
        <v>296</v>
      </c>
      <c r="I7" s="81">
        <v>100</v>
      </c>
      <c r="J7" s="79" t="s">
        <v>49</v>
      </c>
      <c r="K7" s="79" t="s">
        <v>47</v>
      </c>
      <c r="L7" s="173">
        <v>3732417</v>
      </c>
      <c r="M7" s="199" t="str">
        <f>VLOOKUP(L7,Table2[#All],2,TRUE)</f>
        <v>AreaF</v>
      </c>
      <c r="N7" s="81">
        <v>470</v>
      </c>
      <c r="O7" s="164" t="str">
        <f>VLOOKUP(N7,Table1[#All],2,TRUE)</f>
        <v>BedC</v>
      </c>
      <c r="P7" s="81">
        <v>8</v>
      </c>
      <c r="Q7" s="79" t="s">
        <v>50</v>
      </c>
      <c r="R7" s="79" t="s">
        <v>47</v>
      </c>
      <c r="S7" s="79" t="s">
        <v>47</v>
      </c>
      <c r="T7" s="81">
        <v>150376277.5</v>
      </c>
      <c r="U7" s="208">
        <v>-9115871</v>
      </c>
      <c r="V7" s="79" t="s">
        <v>47</v>
      </c>
      <c r="W7" s="81">
        <v>150376300</v>
      </c>
      <c r="X7" s="81">
        <v>4988564.1911599999</v>
      </c>
      <c r="Y7" s="208">
        <v>-291205.41717000026</v>
      </c>
      <c r="Z7" s="79" t="s">
        <v>47</v>
      </c>
      <c r="AA7" s="81">
        <v>13</v>
      </c>
      <c r="AB7" s="81">
        <v>245.4</v>
      </c>
      <c r="AC7" s="81">
        <v>936250066.60000002</v>
      </c>
      <c r="AD7" s="200">
        <v>-1.7709865699693784E-2</v>
      </c>
      <c r="AE7" s="81">
        <v>967441246.79999995</v>
      </c>
      <c r="AF7" s="81">
        <v>244.5</v>
      </c>
      <c r="AG7" s="200">
        <v>0.21230670103092777</v>
      </c>
      <c r="AH7" s="79" t="s">
        <v>47</v>
      </c>
      <c r="AI7" s="79" t="s">
        <v>47</v>
      </c>
      <c r="AJ7" s="81">
        <v>12134907.5</v>
      </c>
      <c r="AK7" s="81">
        <v>3.18</v>
      </c>
      <c r="AL7" s="79" t="s">
        <v>47</v>
      </c>
      <c r="AM7" s="79" t="s">
        <v>47</v>
      </c>
      <c r="AN7" s="81">
        <v>0</v>
      </c>
      <c r="AO7" s="81">
        <v>0</v>
      </c>
      <c r="AP7" s="81">
        <v>0</v>
      </c>
      <c r="AQ7" s="81">
        <v>0</v>
      </c>
      <c r="AR7" s="81">
        <v>79417.100000000006</v>
      </c>
      <c r="AS7" s="81">
        <v>26496.7</v>
      </c>
      <c r="AT7" s="81">
        <v>52920.5</v>
      </c>
      <c r="AU7" s="81">
        <v>79417.100000000006</v>
      </c>
      <c r="AV7" s="79" t="s">
        <v>304</v>
      </c>
      <c r="AW7" s="165" t="str">
        <f>VLOOKUP(AV7,Table3[#All],2,FALSE)</f>
        <v>Region7</v>
      </c>
      <c r="AX7" s="161" t="str">
        <f>IF(Key!$B$1&gt;0,CONCATENATE(O7,AW7),CONCATENATE(M7,AW7))</f>
        <v>AreaFRegion7</v>
      </c>
      <c r="BA7" s="262" t="s">
        <v>447</v>
      </c>
      <c r="BB7" s="257">
        <f t="shared" si="0"/>
        <v>36</v>
      </c>
      <c r="BC7" s="258">
        <f t="array" ref="BC7">MAX(IF(AW:AW=BA7,AG:AG))</f>
        <v>0.29347284504235166</v>
      </c>
      <c r="BD7" s="259" t="str">
        <f t="shared" si="2"/>
        <v>Barnesville Hospital</v>
      </c>
      <c r="BE7" s="259" t="str">
        <f t="shared" si="1"/>
        <v>Ohio</v>
      </c>
    </row>
    <row r="8" spans="1:60" s="77" customFormat="1" ht="29.5" thickBot="1">
      <c r="A8" s="82" t="s">
        <v>327</v>
      </c>
      <c r="B8" s="83" t="s">
        <v>328</v>
      </c>
      <c r="C8" s="83" t="s">
        <v>44</v>
      </c>
      <c r="D8" s="84">
        <v>43100</v>
      </c>
      <c r="E8" s="83" t="s">
        <v>326</v>
      </c>
      <c r="F8" s="83" t="s">
        <v>329</v>
      </c>
      <c r="G8" s="85">
        <v>1</v>
      </c>
      <c r="H8" s="83" t="s">
        <v>80</v>
      </c>
      <c r="I8" s="85">
        <v>100</v>
      </c>
      <c r="J8" s="83" t="s">
        <v>49</v>
      </c>
      <c r="K8" s="83" t="s">
        <v>49</v>
      </c>
      <c r="L8" s="174">
        <v>1738623</v>
      </c>
      <c r="M8" s="199" t="str">
        <f>VLOOKUP(L8,Table2[#All],2,TRUE)</f>
        <v>AreaF</v>
      </c>
      <c r="N8" s="85">
        <v>679</v>
      </c>
      <c r="O8" s="164" t="str">
        <f>VLOOKUP(N8,Table1[#All],2,TRUE)</f>
        <v>BedD</v>
      </c>
      <c r="P8" s="85">
        <v>5</v>
      </c>
      <c r="Q8" s="83" t="s">
        <v>50</v>
      </c>
      <c r="R8" s="83" t="s">
        <v>47</v>
      </c>
      <c r="S8" s="83" t="s">
        <v>47</v>
      </c>
      <c r="T8" s="85">
        <v>44288251.799999997</v>
      </c>
      <c r="U8" s="208">
        <v>776433.70000000298</v>
      </c>
      <c r="V8" s="83" t="s">
        <v>47</v>
      </c>
      <c r="W8" s="85">
        <v>44288260</v>
      </c>
      <c r="X8" s="83" t="s">
        <v>47</v>
      </c>
      <c r="Y8" s="208" t="e">
        <v>#VALUE!</v>
      </c>
      <c r="Z8" s="83" t="s">
        <v>47</v>
      </c>
      <c r="AA8" s="85">
        <v>22</v>
      </c>
      <c r="AB8" s="85">
        <v>307.89999999999998</v>
      </c>
      <c r="AC8" s="85">
        <v>535283479.30000001</v>
      </c>
      <c r="AD8" s="200">
        <v>0.11072329052880296</v>
      </c>
      <c r="AE8" s="85">
        <v>539968776.5</v>
      </c>
      <c r="AF8" s="85">
        <v>310.8</v>
      </c>
      <c r="AG8" s="200">
        <v>0.11123820417500709</v>
      </c>
      <c r="AH8" s="83" t="s">
        <v>47</v>
      </c>
      <c r="AI8" s="85">
        <v>40441.199999999997</v>
      </c>
      <c r="AJ8" s="85">
        <v>6122813.0099999998</v>
      </c>
      <c r="AK8" s="85">
        <v>3.52</v>
      </c>
      <c r="AL8" s="85">
        <v>198712.68</v>
      </c>
      <c r="AM8" s="85">
        <v>0.11</v>
      </c>
      <c r="AN8" s="85">
        <v>0</v>
      </c>
      <c r="AO8" s="85">
        <v>0</v>
      </c>
      <c r="AP8" s="85">
        <v>0</v>
      </c>
      <c r="AQ8" s="85">
        <v>0</v>
      </c>
      <c r="AR8" s="85">
        <v>57318.9</v>
      </c>
      <c r="AS8" s="85">
        <v>0</v>
      </c>
      <c r="AT8" s="85">
        <v>57318.9</v>
      </c>
      <c r="AU8" s="85">
        <v>57318.9</v>
      </c>
      <c r="AV8" s="83" t="s">
        <v>114</v>
      </c>
      <c r="AW8" s="165" t="str">
        <f>VLOOKUP(AV8,Table3[#All],2,FALSE)</f>
        <v>Region6</v>
      </c>
      <c r="AX8" s="161" t="str">
        <f>IF(Key!$B$1&gt;0,CONCATENATE(O8,AW8),CONCATENATE(M8,AW8))</f>
        <v>AreaFRegion6</v>
      </c>
      <c r="BA8" s="262" t="s">
        <v>448</v>
      </c>
      <c r="BB8" s="257">
        <f t="shared" si="0"/>
        <v>9</v>
      </c>
      <c r="BC8" s="258">
        <f t="array" ref="BC8">MAX(IF(AW:AW=BA8,AG:AG))</f>
        <v>0.14055793991416318</v>
      </c>
      <c r="BD8" s="259" t="str">
        <f t="shared" si="2"/>
        <v>Aurora Medical Center - Summit</v>
      </c>
      <c r="BE8" s="259" t="str">
        <f t="shared" si="1"/>
        <v>Wisconsin</v>
      </c>
    </row>
    <row r="9" spans="1:60" s="77" customFormat="1" ht="29.5" thickBot="1">
      <c r="A9" s="82" t="s">
        <v>358</v>
      </c>
      <c r="B9" s="83" t="s">
        <v>359</v>
      </c>
      <c r="C9" s="83" t="s">
        <v>44</v>
      </c>
      <c r="D9" s="84">
        <v>43100</v>
      </c>
      <c r="E9" s="83" t="s">
        <v>360</v>
      </c>
      <c r="F9" s="83" t="s">
        <v>361</v>
      </c>
      <c r="G9" s="85">
        <v>2</v>
      </c>
      <c r="H9" s="83" t="s">
        <v>362</v>
      </c>
      <c r="I9" s="85">
        <v>100</v>
      </c>
      <c r="J9" s="83" t="s">
        <v>49</v>
      </c>
      <c r="K9" s="83" t="s">
        <v>47</v>
      </c>
      <c r="L9" s="174">
        <v>546365</v>
      </c>
      <c r="M9" s="199" t="str">
        <f>VLOOKUP(L9,Table2[#All],2,TRUE)</f>
        <v>AreaE</v>
      </c>
      <c r="N9" s="85">
        <v>345</v>
      </c>
      <c r="O9" s="164" t="str">
        <f>VLOOKUP(N9,Table1[#All],2,TRUE)</f>
        <v>BedC</v>
      </c>
      <c r="P9" s="85">
        <v>1</v>
      </c>
      <c r="Q9" s="83" t="s">
        <v>50</v>
      </c>
      <c r="R9" s="83" t="s">
        <v>47</v>
      </c>
      <c r="S9" s="83" t="s">
        <v>47</v>
      </c>
      <c r="T9" s="85">
        <v>16906964.899999999</v>
      </c>
      <c r="U9" s="208">
        <v>167960</v>
      </c>
      <c r="V9" s="83" t="s">
        <v>47</v>
      </c>
      <c r="W9" s="85">
        <v>16906970</v>
      </c>
      <c r="X9" s="85">
        <v>11898.00006</v>
      </c>
      <c r="Y9" s="208">
        <v>-1268.9995099999996</v>
      </c>
      <c r="Z9" s="83" t="s">
        <v>47</v>
      </c>
      <c r="AA9" s="85">
        <v>16</v>
      </c>
      <c r="AB9" s="85">
        <v>318.2</v>
      </c>
      <c r="AC9" s="85">
        <v>232353138.59999999</v>
      </c>
      <c r="AD9" s="200">
        <v>5.0039446972629173E-2</v>
      </c>
      <c r="AE9" s="85">
        <v>232353133</v>
      </c>
      <c r="AF9" s="85">
        <v>312.10000000000002</v>
      </c>
      <c r="AG9" s="200">
        <v>7.6627218934911173E-2</v>
      </c>
      <c r="AH9" s="83" t="s">
        <v>47</v>
      </c>
      <c r="AI9" s="83" t="s">
        <v>47</v>
      </c>
      <c r="AJ9" s="85">
        <v>4828291.42</v>
      </c>
      <c r="AK9" s="85">
        <v>6.61</v>
      </c>
      <c r="AL9" s="83" t="s">
        <v>47</v>
      </c>
      <c r="AM9" s="83" t="s">
        <v>47</v>
      </c>
      <c r="AN9" s="85">
        <v>0</v>
      </c>
      <c r="AO9" s="85">
        <v>0</v>
      </c>
      <c r="AP9" s="85">
        <v>0</v>
      </c>
      <c r="AQ9" s="85">
        <v>0</v>
      </c>
      <c r="AR9" s="83" t="s">
        <v>47</v>
      </c>
      <c r="AS9" s="85">
        <v>63.2</v>
      </c>
      <c r="AT9" s="83" t="s">
        <v>47</v>
      </c>
      <c r="AU9" s="85">
        <v>0</v>
      </c>
      <c r="AV9" s="83" t="s">
        <v>363</v>
      </c>
      <c r="AW9" s="165" t="str">
        <f>VLOOKUP(AV9,Table3[#All],2,FALSE)</f>
        <v>Region4</v>
      </c>
      <c r="AX9" s="161" t="str">
        <f>IF(Key!$B$1&gt;0,CONCATENATE(O9,AW9),CONCATENATE(M9,AW9))</f>
        <v>AreaERegion4</v>
      </c>
      <c r="AY9" s="77" t="s">
        <v>487</v>
      </c>
      <c r="BA9" s="262" t="s">
        <v>449</v>
      </c>
      <c r="BB9" s="257">
        <f t="shared" si="0"/>
        <v>27</v>
      </c>
      <c r="BC9" s="258">
        <f t="array" ref="BC9">MAX(IF(AW:AW=BA9,AG:AG))</f>
        <v>0.32246849196001737</v>
      </c>
      <c r="BD9" s="259" t="str">
        <f t="shared" si="2"/>
        <v>Memorial Hermann Katy Hospital</v>
      </c>
      <c r="BE9" s="259" t="str">
        <f t="shared" si="1"/>
        <v>Texas</v>
      </c>
    </row>
    <row r="10" spans="1:60" s="77" customFormat="1" ht="29.5" thickBot="1">
      <c r="A10" s="86">
        <v>1159992</v>
      </c>
      <c r="B10" s="87" t="s">
        <v>312</v>
      </c>
      <c r="C10" s="87" t="s">
        <v>44</v>
      </c>
      <c r="D10" s="88">
        <v>39447</v>
      </c>
      <c r="E10" s="87" t="s">
        <v>313</v>
      </c>
      <c r="F10" s="87">
        <v>14424</v>
      </c>
      <c r="G10" s="87">
        <v>3</v>
      </c>
      <c r="H10" s="87">
        <v>1969</v>
      </c>
      <c r="I10" s="87">
        <v>85</v>
      </c>
      <c r="J10" s="87" t="s">
        <v>49</v>
      </c>
      <c r="K10" s="87" t="s">
        <v>47</v>
      </c>
      <c r="L10" s="175">
        <v>381540</v>
      </c>
      <c r="M10" s="199" t="str">
        <f>VLOOKUP(L10,Table2[#All],2,TRUE)</f>
        <v>AreaD</v>
      </c>
      <c r="N10" s="87">
        <v>307.10000000000002</v>
      </c>
      <c r="O10" s="164" t="str">
        <f>VLOOKUP(N10,Table1[#All],2,TRUE)</f>
        <v>BedC</v>
      </c>
      <c r="P10" s="87">
        <v>1</v>
      </c>
      <c r="Q10" s="87" t="s">
        <v>50</v>
      </c>
      <c r="R10" s="87" t="s">
        <v>47</v>
      </c>
      <c r="S10" s="87" t="s">
        <v>47</v>
      </c>
      <c r="T10" s="87">
        <v>7932641.0999999996</v>
      </c>
      <c r="U10" s="208">
        <v>252768.20000000019</v>
      </c>
      <c r="V10" s="87" t="s">
        <v>47</v>
      </c>
      <c r="W10" s="87">
        <v>7932642</v>
      </c>
      <c r="X10" s="87">
        <v>552518.97979999997</v>
      </c>
      <c r="Y10" s="208">
        <v>-1465.9656999999424</v>
      </c>
      <c r="Z10" s="87" t="s">
        <v>47</v>
      </c>
      <c r="AA10" s="87">
        <v>78</v>
      </c>
      <c r="AB10" s="87">
        <v>215.8</v>
      </c>
      <c r="AC10" s="87">
        <v>82318072.700000003</v>
      </c>
      <c r="AD10" s="200">
        <v>6.3196586603560437E-2</v>
      </c>
      <c r="AE10" s="87">
        <v>91772627.5</v>
      </c>
      <c r="AF10" s="87">
        <v>214.9</v>
      </c>
      <c r="AG10" s="200">
        <v>6.0751748251748276E-2</v>
      </c>
      <c r="AH10" s="87" t="s">
        <v>47</v>
      </c>
      <c r="AI10" s="87">
        <v>24088.799999999999</v>
      </c>
      <c r="AJ10" s="87">
        <v>1231121.5900000001</v>
      </c>
      <c r="AK10" s="87">
        <v>3.23</v>
      </c>
      <c r="AL10" s="87">
        <v>81231.09</v>
      </c>
      <c r="AM10" s="87">
        <v>0.21</v>
      </c>
      <c r="AN10" s="87">
        <v>50350</v>
      </c>
      <c r="AO10" s="87">
        <v>25814</v>
      </c>
      <c r="AP10" s="87">
        <v>0</v>
      </c>
      <c r="AQ10" s="87">
        <v>0</v>
      </c>
      <c r="AR10" s="87">
        <v>3999.5</v>
      </c>
      <c r="AS10" s="87">
        <v>2934.7</v>
      </c>
      <c r="AT10" s="87">
        <v>1064.8</v>
      </c>
      <c r="AU10" s="87">
        <v>3999.5</v>
      </c>
      <c r="AV10" s="87" t="s">
        <v>216</v>
      </c>
      <c r="AW10" s="165" t="str">
        <f>VLOOKUP(AV10,Table3[#All],2,FALSE)</f>
        <v>Region1</v>
      </c>
      <c r="AX10" s="161" t="str">
        <f>IF(Key!$B$1&gt;0,CONCATENATE(O10,AW10),CONCATENATE(M10,AW10))</f>
        <v>AreaDRegion1</v>
      </c>
      <c r="BA10" s="262" t="s">
        <v>450</v>
      </c>
      <c r="BB10" s="257">
        <f t="shared" si="0"/>
        <v>2</v>
      </c>
      <c r="BC10" s="258">
        <f t="array" ref="BC10">MAX(IF(AW:AW=BA10,AG:AG))</f>
        <v>0.35117773019271897</v>
      </c>
      <c r="BD10" s="259" t="str">
        <f t="shared" si="2"/>
        <v>Russell Regional Hospital</v>
      </c>
      <c r="BE10" s="259" t="str">
        <f t="shared" si="1"/>
        <v>Kansas</v>
      </c>
    </row>
    <row r="11" spans="1:60" s="77" customFormat="1" ht="29">
      <c r="A11" s="64" t="s">
        <v>227</v>
      </c>
      <c r="B11" s="65" t="s">
        <v>228</v>
      </c>
      <c r="C11" s="65" t="s">
        <v>44</v>
      </c>
      <c r="D11" s="66">
        <v>41639</v>
      </c>
      <c r="E11" s="65" t="s">
        <v>216</v>
      </c>
      <c r="F11" s="65" t="s">
        <v>229</v>
      </c>
      <c r="G11" s="67">
        <v>1</v>
      </c>
      <c r="H11" s="65" t="s">
        <v>230</v>
      </c>
      <c r="I11" s="67">
        <v>100</v>
      </c>
      <c r="J11" s="65" t="s">
        <v>49</v>
      </c>
      <c r="K11" s="65" t="s">
        <v>49</v>
      </c>
      <c r="L11" s="168">
        <v>308789</v>
      </c>
      <c r="M11" s="199" t="str">
        <f>VLOOKUP(L11,Table2[#All],2,TRUE)</f>
        <v>AreaD</v>
      </c>
      <c r="N11" s="67">
        <v>206.9</v>
      </c>
      <c r="O11" s="164" t="str">
        <f>VLOOKUP(N11,Table1[#All],2,TRUE)</f>
        <v>BedB</v>
      </c>
      <c r="P11" s="67">
        <v>0</v>
      </c>
      <c r="Q11" s="65" t="s">
        <v>50</v>
      </c>
      <c r="R11" s="65" t="s">
        <v>47</v>
      </c>
      <c r="S11" s="65" t="s">
        <v>47</v>
      </c>
      <c r="T11" s="67">
        <v>9084257.1999999993</v>
      </c>
      <c r="U11" s="208">
        <v>1205042.9000000004</v>
      </c>
      <c r="V11" s="65" t="s">
        <v>47</v>
      </c>
      <c r="W11" s="67">
        <v>9084258</v>
      </c>
      <c r="X11" s="67">
        <v>179537.0343</v>
      </c>
      <c r="Y11" s="208">
        <v>-26206.806600000011</v>
      </c>
      <c r="Z11" s="65" t="s">
        <v>47</v>
      </c>
      <c r="AA11" s="67">
        <v>86</v>
      </c>
      <c r="AB11" s="67">
        <v>158.5</v>
      </c>
      <c r="AC11" s="67">
        <v>48949192.700000003</v>
      </c>
      <c r="AD11" s="200">
        <v>2.9558342239438352E-2</v>
      </c>
      <c r="AE11" s="67">
        <v>51915421.299999997</v>
      </c>
      <c r="AF11" s="67">
        <v>158.30000000000001</v>
      </c>
      <c r="AG11" s="200">
        <v>5.6052474657125685E-2</v>
      </c>
      <c r="AH11" s="65" t="s">
        <v>47</v>
      </c>
      <c r="AI11" s="67">
        <v>17852.8</v>
      </c>
      <c r="AJ11" s="65" t="s">
        <v>47</v>
      </c>
      <c r="AK11" s="65" t="s">
        <v>47</v>
      </c>
      <c r="AL11" s="65" t="s">
        <v>47</v>
      </c>
      <c r="AM11" s="65" t="s">
        <v>47</v>
      </c>
      <c r="AN11" s="67">
        <v>0</v>
      </c>
      <c r="AO11" s="67">
        <v>0</v>
      </c>
      <c r="AP11" s="67">
        <v>0</v>
      </c>
      <c r="AQ11" s="67">
        <v>0</v>
      </c>
      <c r="AR11" s="67">
        <v>3578.6</v>
      </c>
      <c r="AS11" s="67">
        <v>953.6</v>
      </c>
      <c r="AT11" s="67">
        <v>2625</v>
      </c>
      <c r="AU11" s="67">
        <v>3578.6</v>
      </c>
      <c r="AV11" s="65" t="s">
        <v>216</v>
      </c>
      <c r="AW11" s="165" t="str">
        <f>VLOOKUP(AV11,Table3[#All],2,FALSE)</f>
        <v>Region1</v>
      </c>
      <c r="AX11" s="161" t="str">
        <f>IF(Key!$B$1&gt;0,CONCATENATE(O11,AW11),CONCATENATE(M11,AW11))</f>
        <v>AreaDRegion1</v>
      </c>
      <c r="BA11" s="262" t="s">
        <v>452</v>
      </c>
      <c r="BB11" s="257">
        <f t="shared" si="0"/>
        <v>5</v>
      </c>
      <c r="BC11" s="258">
        <f t="array" ref="BC11">MAX(IF(AW:AW=BA11,AG:AG))</f>
        <v>0.19090552724421792</v>
      </c>
      <c r="BD11" s="259" t="str">
        <f t="shared" si="2"/>
        <v>Canyon Vista Medical Center</v>
      </c>
      <c r="BE11" s="259" t="str">
        <f t="shared" si="1"/>
        <v>Arizona</v>
      </c>
    </row>
    <row r="12" spans="1:60" s="70" customFormat="1" ht="29.5" thickBot="1">
      <c r="A12" s="89" t="s">
        <v>227</v>
      </c>
      <c r="B12" s="41" t="s">
        <v>228</v>
      </c>
      <c r="C12" s="41" t="s">
        <v>44</v>
      </c>
      <c r="D12" s="42">
        <v>38717</v>
      </c>
      <c r="E12" s="41" t="s">
        <v>216</v>
      </c>
      <c r="F12" s="41" t="s">
        <v>229</v>
      </c>
      <c r="G12" s="43">
        <v>1</v>
      </c>
      <c r="H12" s="41" t="s">
        <v>230</v>
      </c>
      <c r="I12" s="43">
        <v>100</v>
      </c>
      <c r="J12" s="41" t="s">
        <v>49</v>
      </c>
      <c r="K12" s="41" t="s">
        <v>49</v>
      </c>
      <c r="L12" s="176">
        <v>308789</v>
      </c>
      <c r="M12" s="199" t="str">
        <f>VLOOKUP(L12,Table2[#All],2,TRUE)</f>
        <v>AreaD</v>
      </c>
      <c r="N12" s="43">
        <v>206.9</v>
      </c>
      <c r="O12" s="164" t="str">
        <f>VLOOKUP(N12,Table1[#All],2,TRUE)</f>
        <v>BedB</v>
      </c>
      <c r="P12" s="43">
        <v>0</v>
      </c>
      <c r="Q12" s="41" t="s">
        <v>50</v>
      </c>
      <c r="R12" s="41" t="s">
        <v>47</v>
      </c>
      <c r="S12" s="41" t="s">
        <v>47</v>
      </c>
      <c r="T12" s="43">
        <v>10019997.699999999</v>
      </c>
      <c r="U12" s="209">
        <v>-631198.89999999851</v>
      </c>
      <c r="V12" s="41" t="s">
        <v>47</v>
      </c>
      <c r="W12" s="43">
        <v>10020000</v>
      </c>
      <c r="X12" s="43">
        <v>217210.9749</v>
      </c>
      <c r="Y12" s="209">
        <v>-7953.9794999999867</v>
      </c>
      <c r="Z12" s="41" t="s">
        <v>47</v>
      </c>
      <c r="AA12" s="43">
        <v>73</v>
      </c>
      <c r="AB12" s="43">
        <v>181.1</v>
      </c>
      <c r="AC12" s="43">
        <v>55909333.899999999</v>
      </c>
      <c r="AD12" s="201">
        <v>-5.5684160415081153E-2</v>
      </c>
      <c r="AE12" s="43">
        <v>57784025</v>
      </c>
      <c r="AF12" s="43">
        <v>176.9</v>
      </c>
      <c r="AG12" s="201">
        <v>-4.5508274231678594E-2</v>
      </c>
      <c r="AH12" s="41" t="s">
        <v>47</v>
      </c>
      <c r="AI12" s="41" t="s">
        <v>47</v>
      </c>
      <c r="AJ12" s="41" t="s">
        <v>47</v>
      </c>
      <c r="AK12" s="41" t="s">
        <v>47</v>
      </c>
      <c r="AL12" s="41" t="s">
        <v>47</v>
      </c>
      <c r="AM12" s="41" t="s">
        <v>47</v>
      </c>
      <c r="AN12" s="43">
        <v>0</v>
      </c>
      <c r="AO12" s="43">
        <v>0</v>
      </c>
      <c r="AP12" s="43">
        <v>0</v>
      </c>
      <c r="AQ12" s="43">
        <v>0</v>
      </c>
      <c r="AR12" s="43">
        <v>4049.1</v>
      </c>
      <c r="AS12" s="43">
        <v>1153.7</v>
      </c>
      <c r="AT12" s="43">
        <v>2895.4</v>
      </c>
      <c r="AU12" s="43">
        <v>4049.1</v>
      </c>
      <c r="AV12" s="41" t="s">
        <v>216</v>
      </c>
      <c r="AW12" s="165" t="str">
        <f>VLOOKUP(AV12,Table3[#All],2,FALSE)</f>
        <v>Region1</v>
      </c>
      <c r="AX12" s="161" t="str">
        <f>IF(Key!$B$1&gt;0,CONCATENATE(O12,AW12),CONCATENATE(M12,AW12))</f>
        <v>AreaDRegion1</v>
      </c>
      <c r="BA12" s="263" t="s">
        <v>451</v>
      </c>
      <c r="BB12" s="260">
        <f>COUNTIF(AW:AW,BA12)</f>
        <v>0</v>
      </c>
      <c r="BC12" s="258">
        <f>MAX(IF(AW:AW=BA12,AG:AG,BC11))</f>
        <v>0.19090552724421792</v>
      </c>
      <c r="BD12" s="259" t="str">
        <f t="shared" si="2"/>
        <v>Canyon Vista Medical Center</v>
      </c>
      <c r="BE12" s="259" t="str">
        <f t="shared" si="1"/>
        <v>Arizona</v>
      </c>
    </row>
    <row r="13" spans="1:60" s="77" customFormat="1" ht="29.5" thickBot="1">
      <c r="A13" s="90" t="s">
        <v>263</v>
      </c>
      <c r="B13" s="91" t="s">
        <v>264</v>
      </c>
      <c r="C13" s="91" t="s">
        <v>44</v>
      </c>
      <c r="D13" s="92">
        <v>41274</v>
      </c>
      <c r="E13" s="91" t="s">
        <v>149</v>
      </c>
      <c r="F13" s="91" t="s">
        <v>194</v>
      </c>
      <c r="G13" s="93">
        <v>1</v>
      </c>
      <c r="H13" s="91" t="s">
        <v>150</v>
      </c>
      <c r="I13" s="93">
        <v>100</v>
      </c>
      <c r="J13" s="91" t="s">
        <v>49</v>
      </c>
      <c r="K13" s="91" t="s">
        <v>47</v>
      </c>
      <c r="L13" s="177">
        <v>1118729</v>
      </c>
      <c r="M13" s="199" t="str">
        <f>VLOOKUP(L13,Table2[#All],2,TRUE)</f>
        <v>AreaF</v>
      </c>
      <c r="N13" s="93">
        <v>771.9</v>
      </c>
      <c r="O13" s="164" t="str">
        <f>VLOOKUP(N13,Table1[#All],2,TRUE)</f>
        <v>BedD</v>
      </c>
      <c r="P13" s="93">
        <v>2</v>
      </c>
      <c r="Q13" s="91" t="s">
        <v>113</v>
      </c>
      <c r="R13" s="91" t="s">
        <v>47</v>
      </c>
      <c r="S13" s="91" t="s">
        <v>47</v>
      </c>
      <c r="T13" s="93">
        <v>25846516</v>
      </c>
      <c r="U13" s="208">
        <v>-365631</v>
      </c>
      <c r="V13" s="91" t="s">
        <v>47</v>
      </c>
      <c r="W13" s="93">
        <v>25846520</v>
      </c>
      <c r="X13" s="91" t="s">
        <v>47</v>
      </c>
      <c r="Y13" s="208" t="e">
        <v>#VALUE!</v>
      </c>
      <c r="Z13" s="91" t="s">
        <v>47</v>
      </c>
      <c r="AA13" s="93">
        <v>69</v>
      </c>
      <c r="AB13" s="93">
        <v>263.5</v>
      </c>
      <c r="AC13" s="93">
        <v>294782428.5</v>
      </c>
      <c r="AD13" s="200">
        <v>9.2817318144231858E-2</v>
      </c>
      <c r="AE13" s="93">
        <v>295261445.10000002</v>
      </c>
      <c r="AF13" s="93">
        <v>261.60000000000002</v>
      </c>
      <c r="AG13" s="200">
        <v>9.0086956521739051E-2</v>
      </c>
      <c r="AH13" s="91" t="s">
        <v>47</v>
      </c>
      <c r="AI13" s="91" t="s">
        <v>47</v>
      </c>
      <c r="AJ13" s="91" t="s">
        <v>47</v>
      </c>
      <c r="AK13" s="91" t="s">
        <v>47</v>
      </c>
      <c r="AL13" s="91" t="s">
        <v>47</v>
      </c>
      <c r="AM13" s="91" t="s">
        <v>47</v>
      </c>
      <c r="AN13" s="93">
        <v>0</v>
      </c>
      <c r="AO13" s="93">
        <v>0</v>
      </c>
      <c r="AP13" s="93">
        <v>0</v>
      </c>
      <c r="AQ13" s="93">
        <v>0</v>
      </c>
      <c r="AR13" s="91" t="s">
        <v>47</v>
      </c>
      <c r="AS13" s="91" t="s">
        <v>47</v>
      </c>
      <c r="AT13" s="93">
        <v>12130.8</v>
      </c>
      <c r="AU13" s="93">
        <v>0</v>
      </c>
      <c r="AV13" s="91" t="s">
        <v>57</v>
      </c>
      <c r="AW13" s="165" t="str">
        <f>VLOOKUP(AV13,Table3[#All],2,FALSE)</f>
        <v>Region7</v>
      </c>
      <c r="AX13" s="161" t="str">
        <f>IF(Key!$B$1&gt;0,CONCATENATE(O13,AW13),CONCATENATE(M13,AW13))</f>
        <v>AreaFRegion7</v>
      </c>
      <c r="BA13" s="261"/>
      <c r="BB13" s="261"/>
      <c r="BC13" s="261"/>
      <c r="BD13" s="261"/>
      <c r="BE13" s="261"/>
    </row>
    <row r="14" spans="1:60" s="70" customFormat="1" ht="29.5" thickBot="1">
      <c r="A14" s="95" t="s">
        <v>263</v>
      </c>
      <c r="B14" s="32" t="s">
        <v>264</v>
      </c>
      <c r="C14" s="32" t="s">
        <v>44</v>
      </c>
      <c r="D14" s="33">
        <v>40908</v>
      </c>
      <c r="E14" s="32" t="s">
        <v>149</v>
      </c>
      <c r="F14" s="32" t="s">
        <v>194</v>
      </c>
      <c r="G14" s="34">
        <v>1</v>
      </c>
      <c r="H14" s="32" t="s">
        <v>150</v>
      </c>
      <c r="I14" s="34">
        <v>100</v>
      </c>
      <c r="J14" s="32" t="s">
        <v>49</v>
      </c>
      <c r="K14" s="32" t="s">
        <v>47</v>
      </c>
      <c r="L14" s="179">
        <v>1118729</v>
      </c>
      <c r="M14" s="199" t="str">
        <f>VLOOKUP(L14,Table2[#All],2,TRUE)</f>
        <v>AreaF</v>
      </c>
      <c r="N14" s="34">
        <v>771.9</v>
      </c>
      <c r="O14" s="164" t="str">
        <f>VLOOKUP(N14,Table1[#All],2,TRUE)</f>
        <v>BedD</v>
      </c>
      <c r="P14" s="34">
        <v>2</v>
      </c>
      <c r="Q14" s="32" t="s">
        <v>113</v>
      </c>
      <c r="R14" s="32" t="s">
        <v>47</v>
      </c>
      <c r="S14" s="32" t="s">
        <v>47</v>
      </c>
      <c r="T14" s="34">
        <v>25480885</v>
      </c>
      <c r="U14" s="209">
        <v>828964.80000000075</v>
      </c>
      <c r="V14" s="32" t="s">
        <v>47</v>
      </c>
      <c r="W14" s="34">
        <v>25480890</v>
      </c>
      <c r="X14" s="32" t="s">
        <v>47</v>
      </c>
      <c r="Y14" s="208" t="e">
        <v>#VALUE!</v>
      </c>
      <c r="Z14" s="32" t="s">
        <v>47</v>
      </c>
      <c r="AA14" s="34">
        <v>61</v>
      </c>
      <c r="AB14" s="34">
        <v>290.5</v>
      </c>
      <c r="AC14" s="34">
        <v>324942742.39999998</v>
      </c>
      <c r="AD14" s="201">
        <v>4.9203826568307359E-2</v>
      </c>
      <c r="AE14" s="34">
        <v>321067671.39999998</v>
      </c>
      <c r="AF14" s="34">
        <v>287.5</v>
      </c>
      <c r="AG14" s="201">
        <v>6.0150375939849551E-2</v>
      </c>
      <c r="AH14" s="32" t="s">
        <v>47</v>
      </c>
      <c r="AI14" s="32" t="s">
        <v>47</v>
      </c>
      <c r="AJ14" s="32" t="s">
        <v>47</v>
      </c>
      <c r="AK14" s="32" t="s">
        <v>47</v>
      </c>
      <c r="AL14" s="32" t="s">
        <v>47</v>
      </c>
      <c r="AM14" s="32" t="s">
        <v>47</v>
      </c>
      <c r="AN14" s="34">
        <v>0</v>
      </c>
      <c r="AO14" s="34">
        <v>0</v>
      </c>
      <c r="AP14" s="34">
        <v>0</v>
      </c>
      <c r="AQ14" s="34">
        <v>0</v>
      </c>
      <c r="AR14" s="32" t="s">
        <v>47</v>
      </c>
      <c r="AS14" s="32" t="s">
        <v>47</v>
      </c>
      <c r="AT14" s="34">
        <v>13941.7</v>
      </c>
      <c r="AU14" s="34">
        <v>0</v>
      </c>
      <c r="AV14" s="32" t="s">
        <v>57</v>
      </c>
      <c r="AW14" s="165" t="str">
        <f>VLOOKUP(AV14,Table3[#All],2,FALSE)</f>
        <v>Region7</v>
      </c>
      <c r="AX14" s="161" t="str">
        <f>IF(Key!$B$1&gt;0,CONCATENATE(O14,AW14),CONCATENATE(M14,AW14))</f>
        <v>AreaFRegion7</v>
      </c>
    </row>
    <row r="15" spans="1:60" s="77" customFormat="1" ht="29.5" thickBot="1">
      <c r="A15" s="96" t="s">
        <v>167</v>
      </c>
      <c r="B15" s="97" t="s">
        <v>168</v>
      </c>
      <c r="C15" s="97" t="s">
        <v>169</v>
      </c>
      <c r="D15" s="98">
        <v>42004</v>
      </c>
      <c r="E15" s="97" t="s">
        <v>164</v>
      </c>
      <c r="F15" s="97" t="s">
        <v>170</v>
      </c>
      <c r="G15" s="99">
        <v>0</v>
      </c>
      <c r="H15" s="97" t="s">
        <v>171</v>
      </c>
      <c r="I15" s="99">
        <v>100</v>
      </c>
      <c r="J15" s="97" t="s">
        <v>49</v>
      </c>
      <c r="K15" s="97" t="s">
        <v>47</v>
      </c>
      <c r="L15" s="180">
        <v>607911</v>
      </c>
      <c r="M15" s="199" t="str">
        <f>VLOOKUP(L15,Table2[#All],2,TRUE)</f>
        <v>AreaE</v>
      </c>
      <c r="N15" s="99">
        <v>312</v>
      </c>
      <c r="O15" s="164" t="str">
        <f>VLOOKUP(N15,Table1[#All],2,TRUE)</f>
        <v>BedC</v>
      </c>
      <c r="P15" s="99">
        <v>2</v>
      </c>
      <c r="Q15" s="97" t="s">
        <v>50</v>
      </c>
      <c r="R15" s="97" t="s">
        <v>47</v>
      </c>
      <c r="S15" s="97" t="s">
        <v>47</v>
      </c>
      <c r="T15" s="99">
        <v>22827666.199999999</v>
      </c>
      <c r="U15" s="208">
        <v>1038197.1000000015</v>
      </c>
      <c r="V15" s="97" t="s">
        <v>47</v>
      </c>
      <c r="W15" s="99">
        <v>22827670</v>
      </c>
      <c r="X15" s="99">
        <v>687007.00084999995</v>
      </c>
      <c r="Y15" s="208">
        <v>40688.333459999994</v>
      </c>
      <c r="Z15" s="97" t="s">
        <v>47</v>
      </c>
      <c r="AA15" s="99">
        <v>31</v>
      </c>
      <c r="AB15" s="99">
        <v>241.1</v>
      </c>
      <c r="AC15" s="99">
        <v>146588706.5</v>
      </c>
      <c r="AD15" s="200">
        <v>4.9359072412700947E-2</v>
      </c>
      <c r="AE15" s="99">
        <v>149250471.5</v>
      </c>
      <c r="AF15" s="99">
        <v>240.6</v>
      </c>
      <c r="AG15" s="200">
        <v>4.5616818722729074E-2</v>
      </c>
      <c r="AH15" s="97" t="s">
        <v>47</v>
      </c>
      <c r="AI15" s="97" t="s">
        <v>47</v>
      </c>
      <c r="AJ15" s="97" t="s">
        <v>47</v>
      </c>
      <c r="AK15" s="97" t="s">
        <v>47</v>
      </c>
      <c r="AL15" s="97" t="s">
        <v>47</v>
      </c>
      <c r="AM15" s="97" t="s">
        <v>47</v>
      </c>
      <c r="AN15" s="99">
        <v>0</v>
      </c>
      <c r="AO15" s="99">
        <v>0</v>
      </c>
      <c r="AP15" s="99">
        <v>0</v>
      </c>
      <c r="AQ15" s="99">
        <v>0</v>
      </c>
      <c r="AR15" s="99">
        <v>16606.8</v>
      </c>
      <c r="AS15" s="99">
        <v>3649</v>
      </c>
      <c r="AT15" s="99">
        <v>12957.8</v>
      </c>
      <c r="AU15" s="99">
        <v>16606.8</v>
      </c>
      <c r="AV15" s="97" t="s">
        <v>120</v>
      </c>
      <c r="AW15" s="165" t="str">
        <f>VLOOKUP(AV15,Table3[#All],2,FALSE)</f>
        <v>Region5</v>
      </c>
      <c r="AX15" s="161" t="str">
        <f>IF(Key!$B$1&gt;0,CONCATENATE(O15,AW15),CONCATENATE(M15,AW15))</f>
        <v>AreaERegion5</v>
      </c>
    </row>
    <row r="16" spans="1:60" s="77" customFormat="1" ht="29.5" thickBot="1">
      <c r="A16" s="82" t="s">
        <v>385</v>
      </c>
      <c r="B16" s="83" t="s">
        <v>386</v>
      </c>
      <c r="C16" s="83" t="s">
        <v>44</v>
      </c>
      <c r="D16" s="84">
        <v>43100</v>
      </c>
      <c r="E16" s="83" t="s">
        <v>387</v>
      </c>
      <c r="F16" s="83" t="s">
        <v>388</v>
      </c>
      <c r="G16" s="85">
        <v>1</v>
      </c>
      <c r="H16" s="83" t="s">
        <v>389</v>
      </c>
      <c r="I16" s="85">
        <v>100</v>
      </c>
      <c r="J16" s="83" t="s">
        <v>49</v>
      </c>
      <c r="K16" s="83" t="s">
        <v>49</v>
      </c>
      <c r="L16" s="174">
        <v>64422</v>
      </c>
      <c r="M16" s="199" t="str">
        <f>VLOOKUP(L16,Table2[#All],2,TRUE)</f>
        <v>AreaB</v>
      </c>
      <c r="N16" s="85">
        <v>44.2</v>
      </c>
      <c r="O16" s="164" t="str">
        <f>VLOOKUP(N16,Table1[#All],2,TRUE)</f>
        <v>BedA</v>
      </c>
      <c r="P16" s="85">
        <v>1</v>
      </c>
      <c r="Q16" s="83" t="s">
        <v>50</v>
      </c>
      <c r="R16" s="83" t="s">
        <v>47</v>
      </c>
      <c r="S16" s="83" t="s">
        <v>47</v>
      </c>
      <c r="T16" s="85">
        <v>2087999.9</v>
      </c>
      <c r="U16" s="208">
        <v>53249.700000000186</v>
      </c>
      <c r="V16" s="83" t="s">
        <v>47</v>
      </c>
      <c r="W16" s="85">
        <v>2088000</v>
      </c>
      <c r="X16" s="85">
        <v>50500.195469999999</v>
      </c>
      <c r="Y16" s="208">
        <v>2318.9040900000036</v>
      </c>
      <c r="Z16" s="83" t="s">
        <v>47</v>
      </c>
      <c r="AA16" s="85">
        <v>99</v>
      </c>
      <c r="AB16" s="85">
        <v>189</v>
      </c>
      <c r="AC16" s="85">
        <v>12174276</v>
      </c>
      <c r="AD16" s="200">
        <v>3.2855368380248023E-2</v>
      </c>
      <c r="AE16" s="85">
        <v>12175591.6</v>
      </c>
      <c r="AF16" s="85">
        <v>193.4</v>
      </c>
      <c r="AG16" s="200">
        <v>1.0235414534288638E-2</v>
      </c>
      <c r="AH16" s="83" t="s">
        <v>47</v>
      </c>
      <c r="AI16" s="83" t="s">
        <v>47</v>
      </c>
      <c r="AJ16" s="85">
        <v>185273.55</v>
      </c>
      <c r="AK16" s="85">
        <v>2.88</v>
      </c>
      <c r="AL16" s="83" t="s">
        <v>47</v>
      </c>
      <c r="AM16" s="83" t="s">
        <v>47</v>
      </c>
      <c r="AN16" s="85">
        <v>0</v>
      </c>
      <c r="AO16" s="85">
        <v>0</v>
      </c>
      <c r="AP16" s="85">
        <v>0</v>
      </c>
      <c r="AQ16" s="85">
        <v>0</v>
      </c>
      <c r="AR16" s="85">
        <v>1453.5</v>
      </c>
      <c r="AS16" s="85">
        <v>268.2</v>
      </c>
      <c r="AT16" s="85">
        <v>1185.2</v>
      </c>
      <c r="AU16" s="85">
        <v>1453.5</v>
      </c>
      <c r="AV16" s="83" t="s">
        <v>349</v>
      </c>
      <c r="AW16" s="165" t="str">
        <f>VLOOKUP(AV16,Table3[#All],2,FALSE)</f>
        <v>Region5</v>
      </c>
      <c r="AX16" s="161" t="str">
        <f>IF(Key!$B$1&gt;0,CONCATENATE(O16,AW16),CONCATENATE(M16,AW16))</f>
        <v>AreaBRegion5</v>
      </c>
    </row>
    <row r="17" spans="1:50" s="77" customFormat="1" ht="29.5" thickBot="1">
      <c r="A17" s="100" t="s">
        <v>314</v>
      </c>
      <c r="B17" s="101" t="s">
        <v>315</v>
      </c>
      <c r="C17" s="101" t="s">
        <v>44</v>
      </c>
      <c r="D17" s="102">
        <v>38717</v>
      </c>
      <c r="E17" s="101" t="s">
        <v>316</v>
      </c>
      <c r="F17" s="101" t="s">
        <v>317</v>
      </c>
      <c r="G17" s="103">
        <v>1</v>
      </c>
      <c r="H17" s="101" t="s">
        <v>318</v>
      </c>
      <c r="I17" s="103">
        <v>100</v>
      </c>
      <c r="J17" s="101" t="s">
        <v>49</v>
      </c>
      <c r="K17" s="101" t="s">
        <v>47</v>
      </c>
      <c r="L17" s="181">
        <v>173961</v>
      </c>
      <c r="M17" s="199" t="str">
        <f>VLOOKUP(L17,Table2[#All],2,TRUE)</f>
        <v>AreaC</v>
      </c>
      <c r="N17" s="103">
        <v>154.5</v>
      </c>
      <c r="O17" s="164" t="str">
        <f>VLOOKUP(N17,Table1[#All],2,TRUE)</f>
        <v>BedB</v>
      </c>
      <c r="P17" s="103">
        <v>1</v>
      </c>
      <c r="Q17" s="101" t="s">
        <v>113</v>
      </c>
      <c r="R17" s="101" t="s">
        <v>47</v>
      </c>
      <c r="S17" s="101" t="s">
        <v>47</v>
      </c>
      <c r="T17" s="103">
        <v>4601538.4000000004</v>
      </c>
      <c r="U17" s="208">
        <v>-451524.90000000037</v>
      </c>
      <c r="V17" s="101" t="s">
        <v>47</v>
      </c>
      <c r="W17" s="103">
        <v>4601539</v>
      </c>
      <c r="X17" s="103">
        <v>208698.63829999999</v>
      </c>
      <c r="Y17" s="208">
        <v>-28204.717799999984</v>
      </c>
      <c r="Z17" s="101" t="s">
        <v>47</v>
      </c>
      <c r="AA17" s="103">
        <v>95</v>
      </c>
      <c r="AB17" s="103">
        <v>209</v>
      </c>
      <c r="AC17" s="103">
        <v>36570314.799999997</v>
      </c>
      <c r="AD17" s="200">
        <v>-0.1353982521785673</v>
      </c>
      <c r="AE17" s="103">
        <v>37083725.5</v>
      </c>
      <c r="AF17" s="103">
        <v>210.7</v>
      </c>
      <c r="AG17" s="200">
        <v>-0.14262472885032529</v>
      </c>
      <c r="AH17" s="101" t="s">
        <v>47</v>
      </c>
      <c r="AI17" s="101" t="s">
        <v>47</v>
      </c>
      <c r="AJ17" s="103">
        <v>383715</v>
      </c>
      <c r="AK17" s="103">
        <v>2.19</v>
      </c>
      <c r="AL17" s="101" t="s">
        <v>47</v>
      </c>
      <c r="AM17" s="101" t="s">
        <v>47</v>
      </c>
      <c r="AN17" s="103">
        <v>0</v>
      </c>
      <c r="AO17" s="103">
        <v>0</v>
      </c>
      <c r="AP17" s="103">
        <v>0</v>
      </c>
      <c r="AQ17" s="103">
        <v>0</v>
      </c>
      <c r="AR17" s="103">
        <v>4494.8</v>
      </c>
      <c r="AS17" s="103">
        <v>1108.5</v>
      </c>
      <c r="AT17" s="103">
        <v>3386.3</v>
      </c>
      <c r="AU17" s="103">
        <v>4494.8</v>
      </c>
      <c r="AV17" s="101" t="s">
        <v>319</v>
      </c>
      <c r="AW17" s="165" t="str">
        <f>VLOOKUP(AV17,Table3[#All],2,FALSE)</f>
        <v>Region8</v>
      </c>
      <c r="AX17" s="161" t="str">
        <f>IF(Key!$B$1&gt;0,CONCATENATE(O17,AW17),CONCATENATE(M17,AW17))</f>
        <v>AreaCRegion8</v>
      </c>
    </row>
    <row r="18" spans="1:50" s="77" customFormat="1" ht="29">
      <c r="A18" s="64" t="s">
        <v>231</v>
      </c>
      <c r="B18" s="65" t="s">
        <v>232</v>
      </c>
      <c r="C18" s="65" t="s">
        <v>44</v>
      </c>
      <c r="D18" s="66">
        <v>41639</v>
      </c>
      <c r="E18" s="65" t="s">
        <v>233</v>
      </c>
      <c r="F18" s="65" t="s">
        <v>234</v>
      </c>
      <c r="G18" s="67">
        <v>1</v>
      </c>
      <c r="H18" s="65" t="s">
        <v>72</v>
      </c>
      <c r="I18" s="67">
        <v>100</v>
      </c>
      <c r="J18" s="65" t="s">
        <v>49</v>
      </c>
      <c r="K18" s="65" t="s">
        <v>49</v>
      </c>
      <c r="L18" s="168">
        <v>212190</v>
      </c>
      <c r="M18" s="199" t="str">
        <f>VLOOKUP(L18,Table2[#All],2,TRUE)</f>
        <v>AreaC</v>
      </c>
      <c r="N18" s="67">
        <v>146.4</v>
      </c>
      <c r="O18" s="164" t="str">
        <f>VLOOKUP(N18,Table1[#All],2,TRUE)</f>
        <v>BedB</v>
      </c>
      <c r="P18" s="67">
        <v>1</v>
      </c>
      <c r="Q18" s="65" t="s">
        <v>50</v>
      </c>
      <c r="R18" s="65" t="s">
        <v>47</v>
      </c>
      <c r="S18" s="65" t="s">
        <v>47</v>
      </c>
      <c r="T18" s="67">
        <v>6190271.2999999998</v>
      </c>
      <c r="U18" s="208">
        <v>159359.70000000019</v>
      </c>
      <c r="V18" s="65" t="s">
        <v>47</v>
      </c>
      <c r="W18" s="67">
        <v>6190272</v>
      </c>
      <c r="X18" s="67">
        <v>159053.90536</v>
      </c>
      <c r="Y18" s="208">
        <v>-9148.5061700000078</v>
      </c>
      <c r="Z18" s="65" t="s">
        <v>47</v>
      </c>
      <c r="AA18" s="67">
        <v>90</v>
      </c>
      <c r="AB18" s="67">
        <v>175.6</v>
      </c>
      <c r="AC18" s="67">
        <v>37261875</v>
      </c>
      <c r="AD18" s="200">
        <v>-1.6542989991972113E-2</v>
      </c>
      <c r="AE18" s="67">
        <v>39956582.100000001</v>
      </c>
      <c r="AF18" s="67">
        <v>176.6</v>
      </c>
      <c r="AG18" s="200">
        <v>-1.6695451928612583E-2</v>
      </c>
      <c r="AH18" s="65" t="s">
        <v>47</v>
      </c>
      <c r="AI18" s="67">
        <v>11247.4</v>
      </c>
      <c r="AJ18" s="67">
        <v>572651.76</v>
      </c>
      <c r="AK18" s="67">
        <v>2.7</v>
      </c>
      <c r="AL18" s="67">
        <v>62973.41</v>
      </c>
      <c r="AM18" s="67">
        <v>0.3</v>
      </c>
      <c r="AN18" s="67">
        <v>0</v>
      </c>
      <c r="AO18" s="67">
        <v>0</v>
      </c>
      <c r="AP18" s="67">
        <v>0</v>
      </c>
      <c r="AQ18" s="67">
        <v>0</v>
      </c>
      <c r="AR18" s="67">
        <v>3136.9</v>
      </c>
      <c r="AS18" s="67">
        <v>862.3</v>
      </c>
      <c r="AT18" s="67">
        <v>2274.6</v>
      </c>
      <c r="AU18" s="67">
        <v>3136.9</v>
      </c>
      <c r="AV18" s="65" t="s">
        <v>235</v>
      </c>
      <c r="AW18" s="165" t="str">
        <f>VLOOKUP(AV18,Table3[#All],2,FALSE)</f>
        <v>Region3</v>
      </c>
      <c r="AX18" s="161" t="str">
        <f>IF(Key!$B$1&gt;0,CONCATENATE(O18,AW18),CONCATENATE(M18,AW18))</f>
        <v>AreaCRegion3</v>
      </c>
    </row>
    <row r="19" spans="1:50" s="70" customFormat="1" ht="29.5" thickBot="1">
      <c r="A19" s="94" t="s">
        <v>231</v>
      </c>
      <c r="B19" s="26" t="s">
        <v>232</v>
      </c>
      <c r="C19" s="26" t="s">
        <v>44</v>
      </c>
      <c r="D19" s="27">
        <v>41274</v>
      </c>
      <c r="E19" s="26" t="s">
        <v>233</v>
      </c>
      <c r="F19" s="26" t="s">
        <v>234</v>
      </c>
      <c r="G19" s="28">
        <v>1</v>
      </c>
      <c r="H19" s="26" t="s">
        <v>72</v>
      </c>
      <c r="I19" s="28">
        <v>100</v>
      </c>
      <c r="J19" s="26" t="s">
        <v>49</v>
      </c>
      <c r="K19" s="26" t="s">
        <v>49</v>
      </c>
      <c r="L19" s="178">
        <v>212190</v>
      </c>
      <c r="M19" s="199" t="str">
        <f>VLOOKUP(L19,Table2[#All],2,TRUE)</f>
        <v>AreaC</v>
      </c>
      <c r="N19" s="28">
        <v>146.4</v>
      </c>
      <c r="O19" s="164" t="str">
        <f>VLOOKUP(N19,Table1[#All],2,TRUE)</f>
        <v>BedB</v>
      </c>
      <c r="P19" s="28">
        <v>1</v>
      </c>
      <c r="Q19" s="26" t="s">
        <v>50</v>
      </c>
      <c r="R19" s="26" t="s">
        <v>47</v>
      </c>
      <c r="S19" s="26" t="s">
        <v>47</v>
      </c>
      <c r="T19" s="28">
        <v>6349631</v>
      </c>
      <c r="U19" s="209">
        <v>80832.400000000373</v>
      </c>
      <c r="V19" s="26" t="s">
        <v>47</v>
      </c>
      <c r="W19" s="28">
        <v>6349632</v>
      </c>
      <c r="X19" s="28">
        <v>149905.39919</v>
      </c>
      <c r="Y19" s="209">
        <v>5411.9005999999936</v>
      </c>
      <c r="Z19" s="26" t="s">
        <v>47</v>
      </c>
      <c r="AA19" s="28">
        <v>90</v>
      </c>
      <c r="AB19" s="28">
        <v>172.7</v>
      </c>
      <c r="AC19" s="28">
        <v>36655483.700000003</v>
      </c>
      <c r="AD19" s="201">
        <v>2.9144786901417013E-2</v>
      </c>
      <c r="AE19" s="28">
        <v>39258094.100000001</v>
      </c>
      <c r="AF19" s="28">
        <v>173.7</v>
      </c>
      <c r="AG19" s="201">
        <v>2.415730337078658E-2</v>
      </c>
      <c r="AH19" s="26" t="s">
        <v>47</v>
      </c>
      <c r="AI19" s="28">
        <v>11848.5</v>
      </c>
      <c r="AJ19" s="28">
        <v>537184.07999999996</v>
      </c>
      <c r="AK19" s="28">
        <v>2.5299999999999998</v>
      </c>
      <c r="AL19" s="28">
        <v>63206.080000000002</v>
      </c>
      <c r="AM19" s="28">
        <v>0.3</v>
      </c>
      <c r="AN19" s="28">
        <v>0</v>
      </c>
      <c r="AO19" s="28">
        <v>0</v>
      </c>
      <c r="AP19" s="28">
        <v>0</v>
      </c>
      <c r="AQ19" s="28">
        <v>0</v>
      </c>
      <c r="AR19" s="28">
        <v>3129.4</v>
      </c>
      <c r="AS19" s="28">
        <v>796.2</v>
      </c>
      <c r="AT19" s="28">
        <v>2333.1999999999998</v>
      </c>
      <c r="AU19" s="28">
        <v>3129.4</v>
      </c>
      <c r="AV19" s="26" t="s">
        <v>235</v>
      </c>
      <c r="AW19" s="165" t="str">
        <f>VLOOKUP(AV19,Table3[#All],2,FALSE)</f>
        <v>Region3</v>
      </c>
      <c r="AX19" s="161" t="str">
        <f>IF(Key!$B$1&gt;0,CONCATENATE(O19,AW19),CONCATENATE(M19,AW19))</f>
        <v>AreaCRegion3</v>
      </c>
    </row>
    <row r="20" spans="1:50" s="77" customFormat="1" ht="29.5" thickBot="1">
      <c r="A20" s="90" t="s">
        <v>240</v>
      </c>
      <c r="B20" s="91" t="s">
        <v>241</v>
      </c>
      <c r="C20" s="91" t="s">
        <v>44</v>
      </c>
      <c r="D20" s="92">
        <v>41274</v>
      </c>
      <c r="E20" s="91" t="s">
        <v>242</v>
      </c>
      <c r="F20" s="91" t="s">
        <v>243</v>
      </c>
      <c r="G20" s="93">
        <v>1</v>
      </c>
      <c r="H20" s="91" t="s">
        <v>244</v>
      </c>
      <c r="I20" s="93">
        <v>100</v>
      </c>
      <c r="J20" s="91" t="s">
        <v>49</v>
      </c>
      <c r="K20" s="91" t="s">
        <v>47</v>
      </c>
      <c r="L20" s="177">
        <v>401774</v>
      </c>
      <c r="M20" s="199" t="str">
        <f>VLOOKUP(L20,Table2[#All],2,TRUE)</f>
        <v>AreaD</v>
      </c>
      <c r="N20" s="93">
        <v>277.2</v>
      </c>
      <c r="O20" s="164" t="str">
        <f>VLOOKUP(N20,Table1[#All],2,TRUE)</f>
        <v>BedB</v>
      </c>
      <c r="P20" s="93">
        <v>1</v>
      </c>
      <c r="Q20" s="91" t="s">
        <v>50</v>
      </c>
      <c r="R20" s="91" t="s">
        <v>47</v>
      </c>
      <c r="S20" s="91" t="s">
        <v>47</v>
      </c>
      <c r="T20" s="93">
        <v>12737897.199999999</v>
      </c>
      <c r="U20" s="208">
        <v>31167.300000000745</v>
      </c>
      <c r="V20" s="91" t="s">
        <v>47</v>
      </c>
      <c r="W20" s="93">
        <v>12737900</v>
      </c>
      <c r="X20" s="93">
        <v>603380.35199999996</v>
      </c>
      <c r="Y20" s="208">
        <v>-4760.6586999999126</v>
      </c>
      <c r="Z20" s="91" t="s">
        <v>47</v>
      </c>
      <c r="AA20" s="93">
        <v>21</v>
      </c>
      <c r="AB20" s="93">
        <v>258.39999999999998</v>
      </c>
      <c r="AC20" s="93">
        <v>103799745.8</v>
      </c>
      <c r="AD20" s="200">
        <v>-3.5746216688925195E-3</v>
      </c>
      <c r="AE20" s="93">
        <v>106465427.8</v>
      </c>
      <c r="AF20" s="93">
        <v>262.89999999999998</v>
      </c>
      <c r="AG20" s="200">
        <v>-1.505791505791497E-2</v>
      </c>
      <c r="AH20" s="91" t="s">
        <v>47</v>
      </c>
      <c r="AI20" s="91" t="s">
        <v>47</v>
      </c>
      <c r="AJ20" s="93">
        <v>915577.32</v>
      </c>
      <c r="AK20" s="93">
        <v>2.2799999999999998</v>
      </c>
      <c r="AL20" s="91" t="s">
        <v>47</v>
      </c>
      <c r="AM20" s="91" t="s">
        <v>47</v>
      </c>
      <c r="AN20" s="93">
        <v>0</v>
      </c>
      <c r="AO20" s="93">
        <v>0</v>
      </c>
      <c r="AP20" s="93">
        <v>0</v>
      </c>
      <c r="AQ20" s="93">
        <v>0</v>
      </c>
      <c r="AR20" s="93">
        <v>10095.4</v>
      </c>
      <c r="AS20" s="93">
        <v>3204.8</v>
      </c>
      <c r="AT20" s="93">
        <v>6890.6</v>
      </c>
      <c r="AU20" s="93">
        <v>10095.4</v>
      </c>
      <c r="AV20" s="91" t="s">
        <v>186</v>
      </c>
      <c r="AW20" s="165" t="str">
        <f>VLOOKUP(AV20,Table3[#All],2,FALSE)</f>
        <v>Region3</v>
      </c>
      <c r="AX20" s="161" t="str">
        <f>IF(Key!$B$1&gt;0,CONCATENATE(O20,AW20),CONCATENATE(M20,AW20))</f>
        <v>AreaDRegion3</v>
      </c>
    </row>
    <row r="21" spans="1:50" s="77" customFormat="1" ht="29.5" thickBot="1">
      <c r="A21" s="90" t="s">
        <v>245</v>
      </c>
      <c r="B21" s="91" t="s">
        <v>246</v>
      </c>
      <c r="C21" s="91" t="s">
        <v>44</v>
      </c>
      <c r="D21" s="92">
        <v>41274</v>
      </c>
      <c r="E21" s="91" t="s">
        <v>247</v>
      </c>
      <c r="F21" s="91" t="s">
        <v>248</v>
      </c>
      <c r="G21" s="93">
        <v>1</v>
      </c>
      <c r="H21" s="91" t="s">
        <v>78</v>
      </c>
      <c r="I21" s="93">
        <v>100</v>
      </c>
      <c r="J21" s="91" t="s">
        <v>49</v>
      </c>
      <c r="K21" s="91" t="s">
        <v>47</v>
      </c>
      <c r="L21" s="177">
        <v>389900</v>
      </c>
      <c r="M21" s="199" t="str">
        <f>VLOOKUP(L21,Table2[#All],2,TRUE)</f>
        <v>AreaD</v>
      </c>
      <c r="N21" s="93">
        <v>269</v>
      </c>
      <c r="O21" s="164" t="str">
        <f>VLOOKUP(N21,Table1[#All],2,TRUE)</f>
        <v>BedB</v>
      </c>
      <c r="P21" s="93">
        <v>1</v>
      </c>
      <c r="Q21" s="91" t="s">
        <v>50</v>
      </c>
      <c r="R21" s="91" t="s">
        <v>47</v>
      </c>
      <c r="S21" s="91" t="s">
        <v>47</v>
      </c>
      <c r="T21" s="93">
        <v>11017552.4</v>
      </c>
      <c r="U21" s="208">
        <v>569474.90000000037</v>
      </c>
      <c r="V21" s="91" t="s">
        <v>47</v>
      </c>
      <c r="W21" s="93">
        <v>11017550</v>
      </c>
      <c r="X21" s="93">
        <v>526694.7733</v>
      </c>
      <c r="Y21" s="208">
        <v>12078.328499999945</v>
      </c>
      <c r="Z21" s="91" t="s">
        <v>47</v>
      </c>
      <c r="AA21" s="93">
        <v>47</v>
      </c>
      <c r="AB21" s="93">
        <v>231.5</v>
      </c>
      <c r="AC21" s="93">
        <v>90261370.900000006</v>
      </c>
      <c r="AD21" s="200">
        <v>3.3730921006527199E-2</v>
      </c>
      <c r="AE21" s="93">
        <v>93117601.5</v>
      </c>
      <c r="AF21" s="93">
        <v>235.1</v>
      </c>
      <c r="AG21" s="200">
        <v>2.3671096345515018E-2</v>
      </c>
      <c r="AH21" s="91" t="s">
        <v>47</v>
      </c>
      <c r="AI21" s="91" t="s">
        <v>47</v>
      </c>
      <c r="AJ21" s="93">
        <v>789801.9</v>
      </c>
      <c r="AK21" s="93">
        <v>2.0299999999999998</v>
      </c>
      <c r="AL21" s="91" t="s">
        <v>47</v>
      </c>
      <c r="AM21" s="91" t="s">
        <v>47</v>
      </c>
      <c r="AN21" s="93">
        <v>0</v>
      </c>
      <c r="AO21" s="93">
        <v>0</v>
      </c>
      <c r="AP21" s="93">
        <v>0</v>
      </c>
      <c r="AQ21" s="93">
        <v>0</v>
      </c>
      <c r="AR21" s="93">
        <v>8757.5</v>
      </c>
      <c r="AS21" s="93">
        <v>2797.5</v>
      </c>
      <c r="AT21" s="93">
        <v>5959.9</v>
      </c>
      <c r="AU21" s="93">
        <v>8757.5</v>
      </c>
      <c r="AV21" s="91" t="s">
        <v>186</v>
      </c>
      <c r="AW21" s="165" t="str">
        <f>VLOOKUP(AV21,Table3[#All],2,FALSE)</f>
        <v>Region3</v>
      </c>
      <c r="AX21" s="161" t="str">
        <f>IF(Key!$B$1&gt;0,CONCATENATE(O21,AW21),CONCATENATE(M21,AW21))</f>
        <v>AreaDRegion3</v>
      </c>
    </row>
    <row r="22" spans="1:50" s="77" customFormat="1" ht="29.5" thickBot="1">
      <c r="A22" s="82" t="s">
        <v>394</v>
      </c>
      <c r="B22" s="83" t="s">
        <v>395</v>
      </c>
      <c r="C22" s="83" t="s">
        <v>44</v>
      </c>
      <c r="D22" s="84">
        <v>43100</v>
      </c>
      <c r="E22" s="83" t="s">
        <v>396</v>
      </c>
      <c r="F22" s="83" t="s">
        <v>397</v>
      </c>
      <c r="G22" s="85">
        <v>14</v>
      </c>
      <c r="H22" s="83" t="s">
        <v>83</v>
      </c>
      <c r="I22" s="85">
        <v>100</v>
      </c>
      <c r="J22" s="83" t="s">
        <v>49</v>
      </c>
      <c r="K22" s="83" t="s">
        <v>49</v>
      </c>
      <c r="L22" s="174">
        <v>782909</v>
      </c>
      <c r="M22" s="199" t="str">
        <f>VLOOKUP(L22,Table2[#All],2,TRUE)</f>
        <v>AreaE</v>
      </c>
      <c r="N22" s="85">
        <v>539.6</v>
      </c>
      <c r="O22" s="164" t="str">
        <f>VLOOKUP(N22,Table1[#All],2,TRUE)</f>
        <v>BedD</v>
      </c>
      <c r="P22" s="85">
        <v>1</v>
      </c>
      <c r="Q22" s="83" t="s">
        <v>113</v>
      </c>
      <c r="R22" s="83" t="s">
        <v>47</v>
      </c>
      <c r="S22" s="83" t="s">
        <v>47</v>
      </c>
      <c r="T22" s="85">
        <v>18606853.199999999</v>
      </c>
      <c r="U22" s="208">
        <v>2172534.1000000015</v>
      </c>
      <c r="V22" s="83" t="s">
        <v>47</v>
      </c>
      <c r="W22" s="85">
        <v>18606860</v>
      </c>
      <c r="X22" s="85">
        <v>760366.03399999999</v>
      </c>
      <c r="Y22" s="208">
        <v>-47451.040000000037</v>
      </c>
      <c r="Z22" s="83" t="s">
        <v>47</v>
      </c>
      <c r="AA22" s="85">
        <v>85</v>
      </c>
      <c r="AB22" s="85">
        <v>178.2</v>
      </c>
      <c r="AC22" s="85">
        <v>139523194.19999999</v>
      </c>
      <c r="AD22" s="200">
        <v>1.876059365470413E-2</v>
      </c>
      <c r="AE22" s="85">
        <v>137466277.30000001</v>
      </c>
      <c r="AF22" s="85">
        <v>178.2</v>
      </c>
      <c r="AG22" s="200">
        <v>2.3026315789473777E-2</v>
      </c>
      <c r="AH22" s="83" t="s">
        <v>47</v>
      </c>
      <c r="AI22" s="85">
        <v>49315</v>
      </c>
      <c r="AJ22" s="85">
        <v>2888301.26</v>
      </c>
      <c r="AK22" s="85">
        <v>3.69</v>
      </c>
      <c r="AL22" s="85">
        <v>111248</v>
      </c>
      <c r="AM22" s="85">
        <v>0.14000000000000001</v>
      </c>
      <c r="AN22" s="85">
        <v>0</v>
      </c>
      <c r="AO22" s="85">
        <v>0</v>
      </c>
      <c r="AP22" s="85">
        <v>0</v>
      </c>
      <c r="AQ22" s="85">
        <v>0</v>
      </c>
      <c r="AR22" s="85">
        <v>8510.7000000000007</v>
      </c>
      <c r="AS22" s="85">
        <v>4038.7</v>
      </c>
      <c r="AT22" s="85">
        <v>4472</v>
      </c>
      <c r="AU22" s="85">
        <v>8510.7000000000007</v>
      </c>
      <c r="AV22" s="83" t="s">
        <v>69</v>
      </c>
      <c r="AW22" s="165" t="str">
        <f>VLOOKUP(AV22,Table3[#All],2,FALSE)</f>
        <v>Region9</v>
      </c>
      <c r="AX22" s="161" t="str">
        <f>IF(Key!$B$1&gt;0,CONCATENATE(O22,AW22),CONCATENATE(M22,AW22))</f>
        <v>AreaERegion9</v>
      </c>
    </row>
    <row r="23" spans="1:50" s="77" customFormat="1" ht="29">
      <c r="A23" s="64" t="s">
        <v>198</v>
      </c>
      <c r="B23" s="65" t="s">
        <v>199</v>
      </c>
      <c r="C23" s="65" t="s">
        <v>44</v>
      </c>
      <c r="D23" s="66">
        <v>41639</v>
      </c>
      <c r="E23" s="65" t="s">
        <v>164</v>
      </c>
      <c r="F23" s="65" t="s">
        <v>200</v>
      </c>
      <c r="G23" s="67">
        <v>1</v>
      </c>
      <c r="H23" s="65" t="s">
        <v>201</v>
      </c>
      <c r="I23" s="67">
        <v>100</v>
      </c>
      <c r="J23" s="65" t="s">
        <v>49</v>
      </c>
      <c r="K23" s="65" t="s">
        <v>47</v>
      </c>
      <c r="L23" s="168">
        <v>196466</v>
      </c>
      <c r="M23" s="199" t="str">
        <f>VLOOKUP(L23,Table2[#All],2,TRUE)</f>
        <v>AreaC</v>
      </c>
      <c r="N23" s="67">
        <v>60</v>
      </c>
      <c r="O23" s="164" t="str">
        <f>VLOOKUP(N23,Table1[#All],2,TRUE)</f>
        <v>BedA</v>
      </c>
      <c r="P23" s="67">
        <v>0</v>
      </c>
      <c r="Q23" s="65" t="s">
        <v>113</v>
      </c>
      <c r="R23" s="65" t="s">
        <v>47</v>
      </c>
      <c r="S23" s="65" t="s">
        <v>47</v>
      </c>
      <c r="T23" s="67">
        <v>4893478.4000000004</v>
      </c>
      <c r="U23" s="208">
        <v>375747</v>
      </c>
      <c r="V23" s="65" t="s">
        <v>47</v>
      </c>
      <c r="W23" s="67">
        <v>4893479</v>
      </c>
      <c r="X23" s="67">
        <v>346719.53090000001</v>
      </c>
      <c r="Y23" s="208">
        <v>26196.262099999993</v>
      </c>
      <c r="Z23" s="65" t="s">
        <v>47</v>
      </c>
      <c r="AA23" s="67">
        <v>26</v>
      </c>
      <c r="AB23" s="67">
        <v>261.5</v>
      </c>
      <c r="AC23" s="67">
        <v>51368503.399999999</v>
      </c>
      <c r="AD23" s="200">
        <v>7.0592771832643925E-2</v>
      </c>
      <c r="AE23" s="67">
        <v>52096807</v>
      </c>
      <c r="AF23" s="67">
        <v>258.39999999999998</v>
      </c>
      <c r="AG23" s="200">
        <v>7.2505384063173167E-2</v>
      </c>
      <c r="AH23" s="65" t="s">
        <v>47</v>
      </c>
      <c r="AI23" s="65" t="s">
        <v>47</v>
      </c>
      <c r="AJ23" s="67">
        <v>624272.28</v>
      </c>
      <c r="AK23" s="67">
        <v>3.18</v>
      </c>
      <c r="AL23" s="65" t="s">
        <v>47</v>
      </c>
      <c r="AM23" s="65" t="s">
        <v>47</v>
      </c>
      <c r="AN23" s="67">
        <v>0</v>
      </c>
      <c r="AO23" s="67">
        <v>0</v>
      </c>
      <c r="AP23" s="67">
        <v>0</v>
      </c>
      <c r="AQ23" s="67">
        <v>0</v>
      </c>
      <c r="AR23" s="67">
        <v>4619.3</v>
      </c>
      <c r="AS23" s="67">
        <v>1841.6</v>
      </c>
      <c r="AT23" s="67">
        <v>2777.7</v>
      </c>
      <c r="AU23" s="67">
        <v>4619.3</v>
      </c>
      <c r="AV23" s="65" t="s">
        <v>120</v>
      </c>
      <c r="AW23" s="165" t="str">
        <f>VLOOKUP(AV23,Table3[#All],2,FALSE)</f>
        <v>Region5</v>
      </c>
      <c r="AX23" s="161" t="str">
        <f>IF(Key!$B$1&gt;0,CONCATENATE(O23,AW23),CONCATENATE(M23,AW23))</f>
        <v>AreaCRegion5</v>
      </c>
    </row>
    <row r="24" spans="1:50" s="70" customFormat="1" ht="29">
      <c r="A24" s="104" t="s">
        <v>198</v>
      </c>
      <c r="B24" s="35" t="s">
        <v>199</v>
      </c>
      <c r="C24" s="35" t="s">
        <v>44</v>
      </c>
      <c r="D24" s="36">
        <v>40178</v>
      </c>
      <c r="E24" s="35" t="s">
        <v>164</v>
      </c>
      <c r="F24" s="35" t="s">
        <v>200</v>
      </c>
      <c r="G24" s="37">
        <v>1</v>
      </c>
      <c r="H24" s="35" t="s">
        <v>201</v>
      </c>
      <c r="I24" s="37">
        <v>100</v>
      </c>
      <c r="J24" s="35" t="s">
        <v>49</v>
      </c>
      <c r="K24" s="35" t="s">
        <v>47</v>
      </c>
      <c r="L24" s="182">
        <v>196466</v>
      </c>
      <c r="M24" s="199" t="str">
        <f>VLOOKUP(L24,Table2[#All],2,TRUE)</f>
        <v>AreaC</v>
      </c>
      <c r="N24" s="37">
        <v>60</v>
      </c>
      <c r="O24" s="164" t="str">
        <f>VLOOKUP(N24,Table1[#All],2,TRUE)</f>
        <v>BedA</v>
      </c>
      <c r="P24" s="37">
        <v>0</v>
      </c>
      <c r="Q24" s="35" t="s">
        <v>113</v>
      </c>
      <c r="R24" s="35" t="s">
        <v>47</v>
      </c>
      <c r="S24" s="35" t="s">
        <v>47</v>
      </c>
      <c r="T24" s="37">
        <v>5444820.2999999998</v>
      </c>
      <c r="U24" s="209">
        <v>150637.90000000037</v>
      </c>
      <c r="V24" s="35" t="s">
        <v>47</v>
      </c>
      <c r="W24" s="37">
        <v>5444821</v>
      </c>
      <c r="X24" s="37">
        <v>338488.8236</v>
      </c>
      <c r="Y24" s="209">
        <v>44665.161599999992</v>
      </c>
      <c r="Z24" s="35" t="s">
        <v>47</v>
      </c>
      <c r="AA24" s="37">
        <v>9</v>
      </c>
      <c r="AB24" s="37">
        <v>266.8</v>
      </c>
      <c r="AC24" s="37">
        <v>52426611.5</v>
      </c>
      <c r="AD24" s="201">
        <v>8.675742783765085E-2</v>
      </c>
      <c r="AE24" s="37">
        <v>57247504.399999999</v>
      </c>
      <c r="AF24" s="37">
        <v>272.2</v>
      </c>
      <c r="AG24" s="201">
        <v>5.1237364935517567E-2</v>
      </c>
      <c r="AH24" s="35" t="s">
        <v>47</v>
      </c>
      <c r="AI24" s="37">
        <v>13172.4</v>
      </c>
      <c r="AJ24" s="37">
        <v>816537.32</v>
      </c>
      <c r="AK24" s="37">
        <v>4.16</v>
      </c>
      <c r="AL24" s="35" t="s">
        <v>47</v>
      </c>
      <c r="AM24" s="35" t="s">
        <v>47</v>
      </c>
      <c r="AN24" s="37">
        <v>0</v>
      </c>
      <c r="AO24" s="37">
        <v>0</v>
      </c>
      <c r="AP24" s="37">
        <v>0</v>
      </c>
      <c r="AQ24" s="37">
        <v>0</v>
      </c>
      <c r="AR24" s="37">
        <v>4888.5</v>
      </c>
      <c r="AS24" s="37">
        <v>1797.9</v>
      </c>
      <c r="AT24" s="37">
        <v>3090.7</v>
      </c>
      <c r="AU24" s="37">
        <v>4888.5</v>
      </c>
      <c r="AV24" s="35" t="s">
        <v>120</v>
      </c>
      <c r="AW24" s="165" t="str">
        <f>VLOOKUP(AV24,Table3[#All],2,FALSE)</f>
        <v>Region5</v>
      </c>
      <c r="AX24" s="161" t="str">
        <f>IF(Key!$B$1&gt;0,CONCATENATE(O24,AW24),CONCATENATE(M24,AW24))</f>
        <v>AreaCRegion5</v>
      </c>
    </row>
    <row r="25" spans="1:50" s="70" customFormat="1" ht="29">
      <c r="A25" s="71">
        <v>17946</v>
      </c>
      <c r="B25" s="44" t="s">
        <v>311</v>
      </c>
      <c r="C25" s="44" t="s">
        <v>44</v>
      </c>
      <c r="D25" s="48">
        <v>39447</v>
      </c>
      <c r="E25" s="44" t="s">
        <v>149</v>
      </c>
      <c r="F25" s="44">
        <v>77030</v>
      </c>
      <c r="G25" s="44">
        <v>1</v>
      </c>
      <c r="H25" s="44">
        <v>1996</v>
      </c>
      <c r="I25" s="44">
        <v>100</v>
      </c>
      <c r="J25" s="44" t="s">
        <v>49</v>
      </c>
      <c r="K25" s="44" t="s">
        <v>47</v>
      </c>
      <c r="L25" s="170">
        <v>150562</v>
      </c>
      <c r="M25" s="199" t="str">
        <f>VLOOKUP(L25,Table2[#All],2,TRUE)</f>
        <v>AreaC</v>
      </c>
      <c r="N25" s="44">
        <v>103.9</v>
      </c>
      <c r="O25" s="164" t="str">
        <f>VLOOKUP(N25,Table1[#All],2,TRUE)</f>
        <v>BedB</v>
      </c>
      <c r="P25" s="44">
        <v>1</v>
      </c>
      <c r="Q25" s="44" t="s">
        <v>113</v>
      </c>
      <c r="R25" s="44" t="s">
        <v>47</v>
      </c>
      <c r="S25" s="44" t="s">
        <v>47</v>
      </c>
      <c r="T25" s="44">
        <v>2762146.7</v>
      </c>
      <c r="U25" s="209">
        <v>76295.899999999907</v>
      </c>
      <c r="V25" s="44" t="s">
        <v>47</v>
      </c>
      <c r="W25" s="44">
        <v>2762147</v>
      </c>
      <c r="X25" s="44">
        <v>2377.2419960000002</v>
      </c>
      <c r="Y25" s="209">
        <v>58.482024999999794</v>
      </c>
      <c r="Z25" s="44" t="s">
        <v>47</v>
      </c>
      <c r="AA25" s="44">
        <v>100</v>
      </c>
      <c r="AB25" s="44">
        <v>175.5</v>
      </c>
      <c r="AC25" s="44">
        <v>26426649.5</v>
      </c>
      <c r="AD25" s="201">
        <v>2.3610931886702161E-2</v>
      </c>
      <c r="AE25" s="44">
        <v>26774109.199999999</v>
      </c>
      <c r="AF25" s="44">
        <v>177.3</v>
      </c>
      <c r="AG25" s="201">
        <v>1.6891891891890932E-3</v>
      </c>
      <c r="AH25" s="44" t="s">
        <v>47</v>
      </c>
      <c r="AI25" s="44" t="s">
        <v>47</v>
      </c>
      <c r="AJ25" s="44">
        <v>507491.87</v>
      </c>
      <c r="AK25" s="44">
        <v>3.37</v>
      </c>
      <c r="AL25" s="44" t="s">
        <v>47</v>
      </c>
      <c r="AM25" s="44" t="s">
        <v>47</v>
      </c>
      <c r="AN25" s="44">
        <v>314830</v>
      </c>
      <c r="AO25" s="44">
        <v>0</v>
      </c>
      <c r="AP25" s="44">
        <v>0</v>
      </c>
      <c r="AQ25" s="44">
        <v>0</v>
      </c>
      <c r="AR25" s="44">
        <v>2166.6</v>
      </c>
      <c r="AS25" s="44">
        <v>12.6</v>
      </c>
      <c r="AT25" s="44">
        <v>2154</v>
      </c>
      <c r="AU25" s="44">
        <v>2166.6</v>
      </c>
      <c r="AV25" s="44" t="s">
        <v>57</v>
      </c>
      <c r="AW25" s="165" t="str">
        <f>VLOOKUP(AV25,Table3[#All],2,FALSE)</f>
        <v>Region7</v>
      </c>
      <c r="AX25" s="161" t="str">
        <f>IF(Key!$B$1&gt;0,CONCATENATE(O25,AW25),CONCATENATE(M25,AW25))</f>
        <v>AreaCRegion7</v>
      </c>
    </row>
    <row r="26" spans="1:50" s="70" customFormat="1" ht="29">
      <c r="A26" s="72" t="s">
        <v>310</v>
      </c>
      <c r="B26" s="38" t="s">
        <v>311</v>
      </c>
      <c r="C26" s="38" t="s">
        <v>44</v>
      </c>
      <c r="D26" s="39">
        <v>39082</v>
      </c>
      <c r="E26" s="38" t="s">
        <v>149</v>
      </c>
      <c r="F26" s="38" t="s">
        <v>194</v>
      </c>
      <c r="G26" s="40">
        <v>1</v>
      </c>
      <c r="H26" s="38" t="s">
        <v>79</v>
      </c>
      <c r="I26" s="40">
        <v>100</v>
      </c>
      <c r="J26" s="38" t="s">
        <v>49</v>
      </c>
      <c r="K26" s="38" t="s">
        <v>47</v>
      </c>
      <c r="L26" s="171">
        <v>150562</v>
      </c>
      <c r="M26" s="199" t="str">
        <f>VLOOKUP(L26,Table2[#All],2,TRUE)</f>
        <v>AreaC</v>
      </c>
      <c r="N26" s="40">
        <v>103.9</v>
      </c>
      <c r="O26" s="164" t="str">
        <f>VLOOKUP(N26,Table1[#All],2,TRUE)</f>
        <v>BedB</v>
      </c>
      <c r="P26" s="40">
        <v>1</v>
      </c>
      <c r="Q26" s="38" t="s">
        <v>113</v>
      </c>
      <c r="R26" s="38" t="s">
        <v>47</v>
      </c>
      <c r="S26" s="38" t="s">
        <v>47</v>
      </c>
      <c r="T26" s="40">
        <v>2838442.6</v>
      </c>
      <c r="U26" s="209">
        <v>112493.10000000009</v>
      </c>
      <c r="V26" s="38" t="s">
        <v>47</v>
      </c>
      <c r="W26" s="40">
        <v>2838443</v>
      </c>
      <c r="X26" s="40">
        <v>2435.724021</v>
      </c>
      <c r="Y26" s="209">
        <v>-153.90002099999992</v>
      </c>
      <c r="Z26" s="38" t="s">
        <v>47</v>
      </c>
      <c r="AA26" s="40">
        <v>100</v>
      </c>
      <c r="AB26" s="40">
        <v>179.8</v>
      </c>
      <c r="AC26" s="40">
        <v>27065695.800000001</v>
      </c>
      <c r="AD26" s="201">
        <v>2.8059696162788909E-2</v>
      </c>
      <c r="AE26" s="40">
        <v>27310776.399999999</v>
      </c>
      <c r="AF26" s="40">
        <v>177.6</v>
      </c>
      <c r="AG26" s="201">
        <v>4.103671706263496E-2</v>
      </c>
      <c r="AH26" s="38" t="s">
        <v>47</v>
      </c>
      <c r="AI26" s="40">
        <v>4232</v>
      </c>
      <c r="AJ26" s="38" t="s">
        <v>47</v>
      </c>
      <c r="AK26" s="38" t="s">
        <v>47</v>
      </c>
      <c r="AL26" s="40">
        <v>31432.04</v>
      </c>
      <c r="AM26" s="40">
        <v>0.21</v>
      </c>
      <c r="AN26" s="40">
        <v>314830</v>
      </c>
      <c r="AO26" s="40">
        <v>0</v>
      </c>
      <c r="AP26" s="40">
        <v>0</v>
      </c>
      <c r="AQ26" s="40">
        <v>0</v>
      </c>
      <c r="AR26" s="40">
        <v>2221.6</v>
      </c>
      <c r="AS26" s="40">
        <v>12.9</v>
      </c>
      <c r="AT26" s="40">
        <v>2208.6999999999998</v>
      </c>
      <c r="AU26" s="40">
        <v>2221.6</v>
      </c>
      <c r="AV26" s="38" t="s">
        <v>57</v>
      </c>
      <c r="AW26" s="165" t="str">
        <f>VLOOKUP(AV26,Table3[#All],2,FALSE)</f>
        <v>Region7</v>
      </c>
      <c r="AX26" s="161" t="str">
        <f>IF(Key!$B$1&gt;0,CONCATENATE(O26,AW26),CONCATENATE(M26,AW26))</f>
        <v>AreaCRegion7</v>
      </c>
    </row>
    <row r="27" spans="1:50" s="70" customFormat="1" ht="29.5" thickBot="1">
      <c r="A27" s="89" t="s">
        <v>310</v>
      </c>
      <c r="B27" s="41" t="s">
        <v>311</v>
      </c>
      <c r="C27" s="41" t="s">
        <v>44</v>
      </c>
      <c r="D27" s="42">
        <v>38717</v>
      </c>
      <c r="E27" s="41" t="s">
        <v>149</v>
      </c>
      <c r="F27" s="41" t="s">
        <v>194</v>
      </c>
      <c r="G27" s="43">
        <v>1</v>
      </c>
      <c r="H27" s="41" t="s">
        <v>79</v>
      </c>
      <c r="I27" s="43">
        <v>100</v>
      </c>
      <c r="J27" s="41" t="s">
        <v>49</v>
      </c>
      <c r="K27" s="41" t="s">
        <v>47</v>
      </c>
      <c r="L27" s="176">
        <v>150562</v>
      </c>
      <c r="M27" s="199" t="str">
        <f>VLOOKUP(L27,Table2[#All],2,TRUE)</f>
        <v>AreaC</v>
      </c>
      <c r="N27" s="43">
        <v>103.9</v>
      </c>
      <c r="O27" s="164" t="str">
        <f>VLOOKUP(N27,Table1[#All],2,TRUE)</f>
        <v>BedB</v>
      </c>
      <c r="P27" s="43">
        <v>1</v>
      </c>
      <c r="Q27" s="41" t="s">
        <v>113</v>
      </c>
      <c r="R27" s="41" t="s">
        <v>47</v>
      </c>
      <c r="S27" s="41" t="s">
        <v>47</v>
      </c>
      <c r="T27" s="43">
        <v>2950935.7</v>
      </c>
      <c r="U27" s="209">
        <v>8653.8999999999069</v>
      </c>
      <c r="V27" s="41" t="s">
        <v>47</v>
      </c>
      <c r="W27" s="43">
        <v>2950936</v>
      </c>
      <c r="X27" s="43">
        <v>2281.8240000000001</v>
      </c>
      <c r="Y27" s="209">
        <v>130.30198999999993</v>
      </c>
      <c r="Z27" s="41" t="s">
        <v>47</v>
      </c>
      <c r="AA27" s="43">
        <v>100</v>
      </c>
      <c r="AB27" s="43">
        <v>185</v>
      </c>
      <c r="AC27" s="43">
        <v>27847076.300000001</v>
      </c>
      <c r="AD27" s="201">
        <v>9.518755836894514E-3</v>
      </c>
      <c r="AE27" s="43">
        <v>28162193</v>
      </c>
      <c r="AF27" s="43">
        <v>185.2</v>
      </c>
      <c r="AG27" s="201">
        <v>5.3705692803437165E-3</v>
      </c>
      <c r="AH27" s="41" t="s">
        <v>47</v>
      </c>
      <c r="AI27" s="43">
        <v>4883</v>
      </c>
      <c r="AJ27" s="41" t="s">
        <v>47</v>
      </c>
      <c r="AK27" s="41" t="s">
        <v>47</v>
      </c>
      <c r="AL27" s="43">
        <v>35194.49</v>
      </c>
      <c r="AM27" s="43">
        <v>0.23</v>
      </c>
      <c r="AN27" s="43">
        <v>314830</v>
      </c>
      <c r="AO27" s="43">
        <v>0</v>
      </c>
      <c r="AP27" s="43">
        <v>0</v>
      </c>
      <c r="AQ27" s="43">
        <v>0</v>
      </c>
      <c r="AR27" s="43">
        <v>2294.3000000000002</v>
      </c>
      <c r="AS27" s="43">
        <v>12.1</v>
      </c>
      <c r="AT27" s="43">
        <v>2282.1999999999998</v>
      </c>
      <c r="AU27" s="43">
        <v>2294.3000000000002</v>
      </c>
      <c r="AV27" s="41" t="s">
        <v>57</v>
      </c>
      <c r="AW27" s="165" t="str">
        <f>VLOOKUP(AV27,Table3[#All],2,FALSE)</f>
        <v>Region7</v>
      </c>
      <c r="AX27" s="161" t="str">
        <f>IF(Key!$B$1&gt;0,CONCATENATE(O27,AW27),CONCATENATE(M27,AW27))</f>
        <v>AreaCRegion7</v>
      </c>
    </row>
    <row r="28" spans="1:50" s="105" customFormat="1" ht="30" customHeight="1" thickBot="1">
      <c r="A28" s="90" t="s">
        <v>202</v>
      </c>
      <c r="B28" s="91" t="s">
        <v>203</v>
      </c>
      <c r="C28" s="91" t="s">
        <v>44</v>
      </c>
      <c r="D28" s="92">
        <v>41274</v>
      </c>
      <c r="E28" s="91" t="s">
        <v>204</v>
      </c>
      <c r="F28" s="91" t="s">
        <v>205</v>
      </c>
      <c r="G28" s="93">
        <v>6</v>
      </c>
      <c r="H28" s="91" t="s">
        <v>73</v>
      </c>
      <c r="I28" s="93">
        <v>100</v>
      </c>
      <c r="J28" s="91" t="s">
        <v>49</v>
      </c>
      <c r="K28" s="91" t="s">
        <v>49</v>
      </c>
      <c r="L28" s="177">
        <v>1152408</v>
      </c>
      <c r="M28" s="199" t="str">
        <f>VLOOKUP(L28,Table2[#All],2,TRUE)</f>
        <v>AreaF</v>
      </c>
      <c r="N28" s="93">
        <v>756.1</v>
      </c>
      <c r="O28" s="164" t="str">
        <f>VLOOKUP(N28,Table1[#All],2,TRUE)</f>
        <v>BedD</v>
      </c>
      <c r="P28" s="93">
        <v>3</v>
      </c>
      <c r="Q28" s="91" t="s">
        <v>50</v>
      </c>
      <c r="R28" s="91" t="s">
        <v>47</v>
      </c>
      <c r="S28" s="91" t="s">
        <v>47</v>
      </c>
      <c r="T28" s="93">
        <v>42007628.399999999</v>
      </c>
      <c r="U28" s="208">
        <v>1294637.8000000045</v>
      </c>
      <c r="V28" s="91" t="s">
        <v>47</v>
      </c>
      <c r="W28" s="93">
        <v>42007630</v>
      </c>
      <c r="X28" s="93">
        <v>1746793.9214699997</v>
      </c>
      <c r="Y28" s="208">
        <v>217441.34372000024</v>
      </c>
      <c r="Z28" s="91" t="s">
        <v>47</v>
      </c>
      <c r="AA28" s="93">
        <v>35</v>
      </c>
      <c r="AB28" s="93">
        <v>256.8</v>
      </c>
      <c r="AC28" s="93">
        <v>302109437.60000002</v>
      </c>
      <c r="AD28" s="200">
        <v>7.8796677223095135E-2</v>
      </c>
      <c r="AE28" s="93">
        <v>300650301.60000002</v>
      </c>
      <c r="AF28" s="93">
        <v>258.89999999999998</v>
      </c>
      <c r="AG28" s="200">
        <v>6.9708947179303024E-2</v>
      </c>
      <c r="AH28" s="91" t="s">
        <v>47</v>
      </c>
      <c r="AI28" s="91" t="s">
        <v>47</v>
      </c>
      <c r="AJ28" s="93">
        <v>4502894.82</v>
      </c>
      <c r="AK28" s="93">
        <v>3.83</v>
      </c>
      <c r="AL28" s="91" t="s">
        <v>47</v>
      </c>
      <c r="AM28" s="91" t="s">
        <v>47</v>
      </c>
      <c r="AN28" s="93">
        <v>0</v>
      </c>
      <c r="AO28" s="93">
        <v>0</v>
      </c>
      <c r="AP28" s="93">
        <v>0</v>
      </c>
      <c r="AQ28" s="93">
        <v>0</v>
      </c>
      <c r="AR28" s="93">
        <v>30946.3</v>
      </c>
      <c r="AS28" s="93">
        <v>9278.1</v>
      </c>
      <c r="AT28" s="93">
        <v>21668.2</v>
      </c>
      <c r="AU28" s="93">
        <v>30946.3</v>
      </c>
      <c r="AV28" s="91" t="s">
        <v>206</v>
      </c>
      <c r="AW28" s="165" t="str">
        <f>VLOOKUP(AV28,Table3[#All],2,FALSE)</f>
        <v>Region3</v>
      </c>
      <c r="AX28" s="161" t="str">
        <f>IF(Key!$B$1&gt;0,CONCATENATE(O28,AW28),CONCATENATE(M28,AW28))</f>
        <v>AreaFRegion3</v>
      </c>
    </row>
    <row r="29" spans="1:50" s="105" customFormat="1" ht="29.5" thickBot="1">
      <c r="A29" s="64" t="s">
        <v>210</v>
      </c>
      <c r="B29" s="65" t="s">
        <v>211</v>
      </c>
      <c r="C29" s="65" t="s">
        <v>44</v>
      </c>
      <c r="D29" s="66">
        <v>41639</v>
      </c>
      <c r="E29" s="65" t="s">
        <v>212</v>
      </c>
      <c r="F29" s="65" t="s">
        <v>213</v>
      </c>
      <c r="G29" s="67">
        <v>1</v>
      </c>
      <c r="H29" s="65" t="s">
        <v>85</v>
      </c>
      <c r="I29" s="67">
        <v>100</v>
      </c>
      <c r="J29" s="65" t="s">
        <v>49</v>
      </c>
      <c r="K29" s="65" t="s">
        <v>49</v>
      </c>
      <c r="L29" s="168">
        <v>556362</v>
      </c>
      <c r="M29" s="199" t="str">
        <f>VLOOKUP(L29,Table2[#All],2,TRUE)</f>
        <v>AreaE</v>
      </c>
      <c r="N29" s="67">
        <v>383.9</v>
      </c>
      <c r="O29" s="164" t="str">
        <f>VLOOKUP(N29,Table1[#All],2,TRUE)</f>
        <v>BedC</v>
      </c>
      <c r="P29" s="67">
        <v>2</v>
      </c>
      <c r="Q29" s="65" t="s">
        <v>50</v>
      </c>
      <c r="R29" s="65" t="s">
        <v>47</v>
      </c>
      <c r="S29" s="65" t="s">
        <v>47</v>
      </c>
      <c r="T29" s="67">
        <v>15830929.9</v>
      </c>
      <c r="U29" s="208">
        <v>711022.69999999925</v>
      </c>
      <c r="V29" s="65" t="s">
        <v>47</v>
      </c>
      <c r="W29" s="67">
        <v>15830930</v>
      </c>
      <c r="X29" s="67">
        <v>580653.41099999996</v>
      </c>
      <c r="Y29" s="208">
        <v>13431.406000000075</v>
      </c>
      <c r="Z29" s="65" t="s">
        <v>47</v>
      </c>
      <c r="AA29" s="67">
        <v>74</v>
      </c>
      <c r="AB29" s="67">
        <v>201.5</v>
      </c>
      <c r="AC29" s="67">
        <v>112080480.40000001</v>
      </c>
      <c r="AD29" s="200">
        <v>3.2534851174912116E-2</v>
      </c>
      <c r="AE29" s="67">
        <v>113322230.5</v>
      </c>
      <c r="AF29" s="67">
        <v>202.5</v>
      </c>
      <c r="AG29" s="200">
        <v>3.5714285714285712E-2</v>
      </c>
      <c r="AH29" s="65" t="s">
        <v>47</v>
      </c>
      <c r="AI29" s="65" t="s">
        <v>47</v>
      </c>
      <c r="AJ29" s="67">
        <v>1651209.5</v>
      </c>
      <c r="AK29" s="67">
        <v>2.97</v>
      </c>
      <c r="AL29" s="65" t="s">
        <v>47</v>
      </c>
      <c r="AM29" s="65" t="s">
        <v>47</v>
      </c>
      <c r="AN29" s="67">
        <v>0</v>
      </c>
      <c r="AO29" s="67">
        <v>0</v>
      </c>
      <c r="AP29" s="67">
        <v>0</v>
      </c>
      <c r="AQ29" s="67">
        <v>0</v>
      </c>
      <c r="AR29" s="67">
        <v>11647.9</v>
      </c>
      <c r="AS29" s="67">
        <v>3084.1</v>
      </c>
      <c r="AT29" s="67">
        <v>8563.7000000000007</v>
      </c>
      <c r="AU29" s="67">
        <v>11647.9</v>
      </c>
      <c r="AV29" s="65" t="s">
        <v>206</v>
      </c>
      <c r="AW29" s="165" t="str">
        <f>VLOOKUP(AV29,Table3[#All],2,FALSE)</f>
        <v>Region3</v>
      </c>
      <c r="AX29" s="161" t="str">
        <f>IF(Key!$B$1&gt;0,CONCATENATE(O29,AW29),CONCATENATE(M29,AW29))</f>
        <v>AreaERegion3</v>
      </c>
    </row>
    <row r="30" spans="1:50" s="105" customFormat="1" ht="29">
      <c r="A30" s="64" t="s">
        <v>207</v>
      </c>
      <c r="B30" s="65" t="s">
        <v>208</v>
      </c>
      <c r="C30" s="65" t="s">
        <v>44</v>
      </c>
      <c r="D30" s="66">
        <v>41639</v>
      </c>
      <c r="E30" s="65" t="s">
        <v>204</v>
      </c>
      <c r="F30" s="65" t="s">
        <v>209</v>
      </c>
      <c r="G30" s="67">
        <v>4</v>
      </c>
      <c r="H30" s="65" t="s">
        <v>56</v>
      </c>
      <c r="I30" s="67">
        <v>100</v>
      </c>
      <c r="J30" s="65" t="s">
        <v>49</v>
      </c>
      <c r="K30" s="65" t="s">
        <v>49</v>
      </c>
      <c r="L30" s="168">
        <v>1820956</v>
      </c>
      <c r="M30" s="199" t="str">
        <f>VLOOKUP(L30,Table2[#All],2,TRUE)</f>
        <v>AreaF</v>
      </c>
      <c r="N30" s="67">
        <v>683</v>
      </c>
      <c r="O30" s="164" t="str">
        <f>VLOOKUP(N30,Table1[#All],2,TRUE)</f>
        <v>BedD</v>
      </c>
      <c r="P30" s="67">
        <v>2.5499999999999998</v>
      </c>
      <c r="Q30" s="65" t="s">
        <v>50</v>
      </c>
      <c r="R30" s="65" t="s">
        <v>47</v>
      </c>
      <c r="S30" s="65" t="s">
        <v>47</v>
      </c>
      <c r="T30" s="67">
        <v>42105005.200000003</v>
      </c>
      <c r="U30" s="208">
        <v>2130473</v>
      </c>
      <c r="V30" s="65" t="s">
        <v>47</v>
      </c>
      <c r="W30" s="67">
        <v>42105010</v>
      </c>
      <c r="X30" s="67">
        <v>1524933.9885100001</v>
      </c>
      <c r="Y30" s="208">
        <v>-63750.609829999972</v>
      </c>
      <c r="Z30" s="65" t="s">
        <v>47</v>
      </c>
      <c r="AA30" s="67">
        <v>92</v>
      </c>
      <c r="AB30" s="67">
        <v>162.6</v>
      </c>
      <c r="AC30" s="67">
        <v>296155694</v>
      </c>
      <c r="AD30" s="200">
        <v>3.0099797280494262E-3</v>
      </c>
      <c r="AE30" s="67">
        <v>305090128.89999998</v>
      </c>
      <c r="AF30" s="67">
        <v>163</v>
      </c>
      <c r="AG30" s="200">
        <v>1.3317191283292911E-2</v>
      </c>
      <c r="AH30" s="65" t="s">
        <v>47</v>
      </c>
      <c r="AI30" s="65" t="s">
        <v>47</v>
      </c>
      <c r="AJ30" s="67">
        <v>4133662.17</v>
      </c>
      <c r="AK30" s="67">
        <v>2.27</v>
      </c>
      <c r="AL30" s="65" t="s">
        <v>47</v>
      </c>
      <c r="AM30" s="65" t="s">
        <v>47</v>
      </c>
      <c r="AN30" s="67">
        <v>0</v>
      </c>
      <c r="AO30" s="67">
        <v>0</v>
      </c>
      <c r="AP30" s="67">
        <v>0</v>
      </c>
      <c r="AQ30" s="67">
        <v>0</v>
      </c>
      <c r="AR30" s="67">
        <v>30876.3</v>
      </c>
      <c r="AS30" s="67">
        <v>8099.7</v>
      </c>
      <c r="AT30" s="67">
        <v>22776.7</v>
      </c>
      <c r="AU30" s="67">
        <v>30876.3</v>
      </c>
      <c r="AV30" s="65" t="s">
        <v>206</v>
      </c>
      <c r="AW30" s="165" t="str">
        <f>VLOOKUP(AV30,Table3[#All],2,FALSE)</f>
        <v>Region3</v>
      </c>
      <c r="AX30" s="161" t="str">
        <f>IF(Key!$B$1&gt;0,CONCATENATE(O30,AW30),CONCATENATE(M30,AW30))</f>
        <v>AreaFRegion3</v>
      </c>
    </row>
    <row r="31" spans="1:50" s="106" customFormat="1" ht="29">
      <c r="A31" s="94" t="s">
        <v>207</v>
      </c>
      <c r="B31" s="26" t="s">
        <v>208</v>
      </c>
      <c r="C31" s="26" t="s">
        <v>44</v>
      </c>
      <c r="D31" s="27">
        <v>41274</v>
      </c>
      <c r="E31" s="26" t="s">
        <v>204</v>
      </c>
      <c r="F31" s="26" t="s">
        <v>209</v>
      </c>
      <c r="G31" s="28">
        <v>4</v>
      </c>
      <c r="H31" s="26" t="s">
        <v>56</v>
      </c>
      <c r="I31" s="28">
        <v>100</v>
      </c>
      <c r="J31" s="26" t="s">
        <v>49</v>
      </c>
      <c r="K31" s="26" t="s">
        <v>49</v>
      </c>
      <c r="L31" s="178">
        <v>1820956</v>
      </c>
      <c r="M31" s="199" t="str">
        <f>VLOOKUP(L31,Table2[#All],2,TRUE)</f>
        <v>AreaF</v>
      </c>
      <c r="N31" s="28">
        <v>683</v>
      </c>
      <c r="O31" s="164" t="str">
        <f>VLOOKUP(N31,Table1[#All],2,TRUE)</f>
        <v>BedD</v>
      </c>
      <c r="P31" s="28">
        <v>2</v>
      </c>
      <c r="Q31" s="26" t="s">
        <v>50</v>
      </c>
      <c r="R31" s="26" t="s">
        <v>47</v>
      </c>
      <c r="S31" s="26" t="s">
        <v>47</v>
      </c>
      <c r="T31" s="28">
        <v>44235478.200000003</v>
      </c>
      <c r="U31" s="209">
        <v>2987317.8999999985</v>
      </c>
      <c r="V31" s="26" t="s">
        <v>47</v>
      </c>
      <c r="W31" s="28">
        <v>44235480</v>
      </c>
      <c r="X31" s="28">
        <v>1461183.3786800001</v>
      </c>
      <c r="Y31" s="209">
        <v>317311.15507999994</v>
      </c>
      <c r="Z31" s="26" t="s">
        <v>47</v>
      </c>
      <c r="AA31" s="28">
        <v>90</v>
      </c>
      <c r="AB31" s="28">
        <v>163.1</v>
      </c>
      <c r="AC31" s="28">
        <v>297049807.89999998</v>
      </c>
      <c r="AD31" s="201">
        <v>0.12367877213050588</v>
      </c>
      <c r="AE31" s="28">
        <v>303577482.69999999</v>
      </c>
      <c r="AF31" s="28">
        <v>165.2</v>
      </c>
      <c r="AG31" s="201">
        <v>0.11278195488721805</v>
      </c>
      <c r="AH31" s="26" t="s">
        <v>47</v>
      </c>
      <c r="AI31" s="26" t="s">
        <v>47</v>
      </c>
      <c r="AJ31" s="28">
        <v>4356764.29</v>
      </c>
      <c r="AK31" s="28">
        <v>2.39</v>
      </c>
      <c r="AL31" s="26" t="s">
        <v>47</v>
      </c>
      <c r="AM31" s="26" t="s">
        <v>47</v>
      </c>
      <c r="AN31" s="28">
        <v>0</v>
      </c>
      <c r="AO31" s="28">
        <v>0</v>
      </c>
      <c r="AP31" s="28">
        <v>0</v>
      </c>
      <c r="AQ31" s="28">
        <v>0</v>
      </c>
      <c r="AR31" s="28">
        <v>31690.2</v>
      </c>
      <c r="AS31" s="28">
        <v>7761</v>
      </c>
      <c r="AT31" s="28">
        <v>23929.200000000001</v>
      </c>
      <c r="AU31" s="28">
        <v>31690.2</v>
      </c>
      <c r="AV31" s="26" t="s">
        <v>206</v>
      </c>
      <c r="AW31" s="165" t="str">
        <f>VLOOKUP(AV31,Table3[#All],2,FALSE)</f>
        <v>Region3</v>
      </c>
      <c r="AX31" s="161" t="str">
        <f>IF(Key!$B$1&gt;0,CONCATENATE(O31,AW31),CONCATENATE(M31,AW31))</f>
        <v>AreaFRegion3</v>
      </c>
    </row>
    <row r="32" spans="1:50" s="106" customFormat="1" ht="29">
      <c r="A32" s="95" t="s">
        <v>207</v>
      </c>
      <c r="B32" s="32" t="s">
        <v>208</v>
      </c>
      <c r="C32" s="32" t="s">
        <v>44</v>
      </c>
      <c r="D32" s="33">
        <v>40908</v>
      </c>
      <c r="E32" s="32" t="s">
        <v>204</v>
      </c>
      <c r="F32" s="32" t="s">
        <v>209</v>
      </c>
      <c r="G32" s="34">
        <v>4</v>
      </c>
      <c r="H32" s="32" t="s">
        <v>56</v>
      </c>
      <c r="I32" s="34">
        <v>100</v>
      </c>
      <c r="J32" s="32" t="s">
        <v>49</v>
      </c>
      <c r="K32" s="32" t="s">
        <v>49</v>
      </c>
      <c r="L32" s="179">
        <v>1820956</v>
      </c>
      <c r="M32" s="199" t="str">
        <f>VLOOKUP(L32,Table2[#All],2,TRUE)</f>
        <v>AreaF</v>
      </c>
      <c r="N32" s="34">
        <v>683</v>
      </c>
      <c r="O32" s="164" t="str">
        <f>VLOOKUP(N32,Table1[#All],2,TRUE)</f>
        <v>BedD</v>
      </c>
      <c r="P32" s="34">
        <v>2</v>
      </c>
      <c r="Q32" s="32" t="s">
        <v>50</v>
      </c>
      <c r="R32" s="32" t="s">
        <v>47</v>
      </c>
      <c r="S32" s="32" t="s">
        <v>47</v>
      </c>
      <c r="T32" s="34">
        <v>47222796.100000001</v>
      </c>
      <c r="U32" s="209">
        <v>5246842.8999999985</v>
      </c>
      <c r="V32" s="32" t="s">
        <v>47</v>
      </c>
      <c r="W32" s="34">
        <v>47222800</v>
      </c>
      <c r="X32" s="34">
        <v>1778494.53376</v>
      </c>
      <c r="Y32" s="209">
        <v>217343.66363999993</v>
      </c>
      <c r="Z32" s="32" t="s">
        <v>47</v>
      </c>
      <c r="AA32" s="34">
        <v>77</v>
      </c>
      <c r="AB32" s="34">
        <v>186.2</v>
      </c>
      <c r="AC32" s="34">
        <v>338973653.10000002</v>
      </c>
      <c r="AD32" s="201">
        <v>0.10468970806225104</v>
      </c>
      <c r="AE32" s="34">
        <v>347481859.89999998</v>
      </c>
      <c r="AF32" s="34">
        <v>186.2</v>
      </c>
      <c r="AG32" s="201">
        <v>9.7430925836161031E-2</v>
      </c>
      <c r="AH32" s="32" t="s">
        <v>47</v>
      </c>
      <c r="AI32" s="32" t="s">
        <v>47</v>
      </c>
      <c r="AJ32" s="34">
        <v>4878158.4800000004</v>
      </c>
      <c r="AK32" s="34">
        <v>2.68</v>
      </c>
      <c r="AL32" s="32" t="s">
        <v>47</v>
      </c>
      <c r="AM32" s="32" t="s">
        <v>47</v>
      </c>
      <c r="AN32" s="34">
        <v>0</v>
      </c>
      <c r="AO32" s="34">
        <v>0</v>
      </c>
      <c r="AP32" s="34">
        <v>0</v>
      </c>
      <c r="AQ32" s="34">
        <v>0</v>
      </c>
      <c r="AR32" s="34">
        <v>34991.599999999999</v>
      </c>
      <c r="AS32" s="34">
        <v>9446.4</v>
      </c>
      <c r="AT32" s="34">
        <v>25545.1</v>
      </c>
      <c r="AU32" s="34">
        <v>34991.599999999999</v>
      </c>
      <c r="AV32" s="32" t="s">
        <v>206</v>
      </c>
      <c r="AW32" s="165" t="str">
        <f>VLOOKUP(AV32,Table3[#All],2,FALSE)</f>
        <v>Region3</v>
      </c>
      <c r="AX32" s="161" t="str">
        <f>IF(Key!$B$1&gt;0,CONCATENATE(O32,AW32),CONCATENATE(M32,AW32))</f>
        <v>AreaFRegion3</v>
      </c>
    </row>
    <row r="33" spans="1:50" s="106" customFormat="1" ht="29.5" thickBot="1">
      <c r="A33" s="107" t="s">
        <v>207</v>
      </c>
      <c r="B33" s="29" t="s">
        <v>208</v>
      </c>
      <c r="C33" s="29" t="s">
        <v>44</v>
      </c>
      <c r="D33" s="30">
        <v>40543</v>
      </c>
      <c r="E33" s="29" t="s">
        <v>204</v>
      </c>
      <c r="F33" s="29" t="s">
        <v>209</v>
      </c>
      <c r="G33" s="31">
        <v>4</v>
      </c>
      <c r="H33" s="29" t="s">
        <v>56</v>
      </c>
      <c r="I33" s="31">
        <v>100</v>
      </c>
      <c r="J33" s="29" t="s">
        <v>49</v>
      </c>
      <c r="K33" s="29" t="s">
        <v>49</v>
      </c>
      <c r="L33" s="183">
        <v>1820956</v>
      </c>
      <c r="M33" s="199" t="str">
        <f>VLOOKUP(L33,Table2[#All],2,TRUE)</f>
        <v>AreaF</v>
      </c>
      <c r="N33" s="31">
        <v>683</v>
      </c>
      <c r="O33" s="164" t="str">
        <f>VLOOKUP(N33,Table1[#All],2,TRUE)</f>
        <v>BedD</v>
      </c>
      <c r="P33" s="31">
        <v>2</v>
      </c>
      <c r="Q33" s="29" t="s">
        <v>50</v>
      </c>
      <c r="R33" s="29" t="s">
        <v>47</v>
      </c>
      <c r="S33" s="29" t="s">
        <v>47</v>
      </c>
      <c r="T33" s="31">
        <v>52469639</v>
      </c>
      <c r="U33" s="209">
        <v>1409616.799999997</v>
      </c>
      <c r="V33" s="29" t="s">
        <v>47</v>
      </c>
      <c r="W33" s="31">
        <v>52469650</v>
      </c>
      <c r="X33" s="31">
        <v>1995838.1973999999</v>
      </c>
      <c r="Y33" s="209">
        <v>213166.20307000028</v>
      </c>
      <c r="Z33" s="29" t="s">
        <v>47</v>
      </c>
      <c r="AA33" s="31">
        <v>58</v>
      </c>
      <c r="AB33" s="31">
        <v>207.9</v>
      </c>
      <c r="AC33" s="31">
        <v>378610249.60000002</v>
      </c>
      <c r="AD33" s="201">
        <v>6.4551219351147243E-2</v>
      </c>
      <c r="AE33" s="31">
        <v>385474480</v>
      </c>
      <c r="AF33" s="31">
        <v>206.3</v>
      </c>
      <c r="AG33" s="201">
        <v>7.1139126519585691E-2</v>
      </c>
      <c r="AH33" s="29" t="s">
        <v>47</v>
      </c>
      <c r="AI33" s="29" t="s">
        <v>47</v>
      </c>
      <c r="AJ33" s="31">
        <v>5207183.34</v>
      </c>
      <c r="AK33" s="31">
        <v>2.86</v>
      </c>
      <c r="AL33" s="29" t="s">
        <v>47</v>
      </c>
      <c r="AM33" s="29" t="s">
        <v>47</v>
      </c>
      <c r="AN33" s="31">
        <v>0</v>
      </c>
      <c r="AO33" s="31">
        <v>0</v>
      </c>
      <c r="AP33" s="31">
        <v>0</v>
      </c>
      <c r="AQ33" s="31">
        <v>0</v>
      </c>
      <c r="AR33" s="31">
        <v>38984.199999999997</v>
      </c>
      <c r="AS33" s="31">
        <v>10600.8</v>
      </c>
      <c r="AT33" s="31">
        <v>28383.4</v>
      </c>
      <c r="AU33" s="31">
        <v>38984.199999999997</v>
      </c>
      <c r="AV33" s="29" t="s">
        <v>206</v>
      </c>
      <c r="AW33" s="165" t="str">
        <f>VLOOKUP(AV33,Table3[#All],2,FALSE)</f>
        <v>Region3</v>
      </c>
      <c r="AX33" s="161" t="str">
        <f>IF(Key!$B$1&gt;0,CONCATENATE(O33,AW33),CONCATENATE(M33,AW33))</f>
        <v>AreaFRegion3</v>
      </c>
    </row>
    <row r="34" spans="1:50" s="105" customFormat="1" ht="29.5" thickBot="1">
      <c r="A34" s="73" t="s">
        <v>134</v>
      </c>
      <c r="B34" s="74" t="s">
        <v>135</v>
      </c>
      <c r="C34" s="74" t="s">
        <v>135</v>
      </c>
      <c r="D34" s="75">
        <v>42735</v>
      </c>
      <c r="E34" s="74" t="s">
        <v>136</v>
      </c>
      <c r="F34" s="74" t="s">
        <v>137</v>
      </c>
      <c r="G34" s="76">
        <v>2</v>
      </c>
      <c r="H34" s="74" t="s">
        <v>138</v>
      </c>
      <c r="I34" s="76">
        <v>100</v>
      </c>
      <c r="J34" s="74" t="s">
        <v>49</v>
      </c>
      <c r="K34" s="74" t="s">
        <v>49</v>
      </c>
      <c r="L34" s="172">
        <v>80623</v>
      </c>
      <c r="M34" s="199" t="str">
        <f>VLOOKUP(L34,Table2[#All],2,TRUE)</f>
        <v>AreaB</v>
      </c>
      <c r="N34" s="76">
        <v>47</v>
      </c>
      <c r="O34" s="164" t="str">
        <f>VLOOKUP(N34,Table1[#All],2,TRUE)</f>
        <v>BedA</v>
      </c>
      <c r="P34" s="76">
        <v>0</v>
      </c>
      <c r="Q34" s="74" t="s">
        <v>113</v>
      </c>
      <c r="R34" s="74" t="s">
        <v>47</v>
      </c>
      <c r="S34" s="74" t="s">
        <v>47</v>
      </c>
      <c r="T34" s="76">
        <v>730895.4</v>
      </c>
      <c r="U34" s="208">
        <v>484816.70000000007</v>
      </c>
      <c r="V34" s="74" t="s">
        <v>47</v>
      </c>
      <c r="W34" s="76">
        <v>730895.5</v>
      </c>
      <c r="X34" s="76">
        <v>48349.224069999997</v>
      </c>
      <c r="Y34" s="208">
        <v>21944.085220000008</v>
      </c>
      <c r="Z34" s="74" t="s">
        <v>47</v>
      </c>
      <c r="AA34" s="76">
        <v>100</v>
      </c>
      <c r="AB34" s="76">
        <v>90.9</v>
      </c>
      <c r="AC34" s="76">
        <v>7328737.7999999998</v>
      </c>
      <c r="AD34" s="200">
        <v>0.34432189194192075</v>
      </c>
      <c r="AE34" s="76">
        <v>7318702.9000000004</v>
      </c>
      <c r="AF34" s="76">
        <v>90.9</v>
      </c>
      <c r="AG34" s="200">
        <v>0.35117773019271897</v>
      </c>
      <c r="AH34" s="74" t="s">
        <v>47</v>
      </c>
      <c r="AI34" s="76">
        <v>1540.4</v>
      </c>
      <c r="AJ34" s="76">
        <v>116453.71</v>
      </c>
      <c r="AK34" s="76">
        <v>1.44</v>
      </c>
      <c r="AL34" s="76">
        <v>25437.05</v>
      </c>
      <c r="AM34" s="76">
        <v>0.32</v>
      </c>
      <c r="AN34" s="76">
        <v>0</v>
      </c>
      <c r="AO34" s="76">
        <v>0</v>
      </c>
      <c r="AP34" s="76">
        <v>0</v>
      </c>
      <c r="AQ34" s="76">
        <v>0</v>
      </c>
      <c r="AR34" s="76">
        <v>728.3</v>
      </c>
      <c r="AS34" s="76">
        <v>256.8</v>
      </c>
      <c r="AT34" s="76">
        <v>471.5</v>
      </c>
      <c r="AU34" s="76">
        <v>728.3</v>
      </c>
      <c r="AV34" s="74" t="s">
        <v>139</v>
      </c>
      <c r="AW34" s="165" t="str">
        <f>VLOOKUP(AV34,Table3[#All],2,FALSE)</f>
        <v>Region8</v>
      </c>
      <c r="AX34" s="161" t="str">
        <f>IF(Key!$B$1&gt;0,CONCATENATE(O34,AW34),CONCATENATE(M34,AW34))</f>
        <v>AreaBRegion8</v>
      </c>
    </row>
    <row r="35" spans="1:50" s="105" customFormat="1" ht="29.5" thickBot="1">
      <c r="A35" s="82" t="s">
        <v>381</v>
      </c>
      <c r="B35" s="83" t="s">
        <v>382</v>
      </c>
      <c r="C35" s="83" t="s">
        <v>44</v>
      </c>
      <c r="D35" s="84">
        <v>43100</v>
      </c>
      <c r="E35" s="83" t="s">
        <v>383</v>
      </c>
      <c r="F35" s="83" t="s">
        <v>384</v>
      </c>
      <c r="G35" s="85">
        <v>1</v>
      </c>
      <c r="H35" s="83" t="s">
        <v>193</v>
      </c>
      <c r="I35" s="85">
        <v>100</v>
      </c>
      <c r="J35" s="83" t="s">
        <v>49</v>
      </c>
      <c r="K35" s="83" t="s">
        <v>49</v>
      </c>
      <c r="L35" s="174">
        <v>840083</v>
      </c>
      <c r="M35" s="199" t="str">
        <f>VLOOKUP(L35,Table2[#All],2,TRUE)</f>
        <v>AreaE</v>
      </c>
      <c r="N35" s="85">
        <v>347.8</v>
      </c>
      <c r="O35" s="164" t="str">
        <f>VLOOKUP(N35,Table1[#All],2,TRUE)</f>
        <v>BedC</v>
      </c>
      <c r="P35" s="85">
        <v>1</v>
      </c>
      <c r="Q35" s="83" t="s">
        <v>50</v>
      </c>
      <c r="R35" s="83" t="s">
        <v>47</v>
      </c>
      <c r="S35" s="83" t="s">
        <v>47</v>
      </c>
      <c r="T35" s="85">
        <v>24790076.899999999</v>
      </c>
      <c r="U35" s="208">
        <v>911681.5</v>
      </c>
      <c r="V35" s="83" t="s">
        <v>47</v>
      </c>
      <c r="W35" s="85">
        <v>24790080</v>
      </c>
      <c r="X35" s="85">
        <v>675590.16200000001</v>
      </c>
      <c r="Y35" s="208">
        <v>18570.851999999955</v>
      </c>
      <c r="Z35" s="83" t="s">
        <v>47</v>
      </c>
      <c r="AA35" s="85">
        <v>42</v>
      </c>
      <c r="AB35" s="85">
        <v>181.1</v>
      </c>
      <c r="AC35" s="85">
        <v>152142769</v>
      </c>
      <c r="AD35" s="200">
        <v>3.1619415845629481E-2</v>
      </c>
      <c r="AE35" s="85">
        <v>154256637.59999999</v>
      </c>
      <c r="AF35" s="85">
        <v>183.1</v>
      </c>
      <c r="AG35" s="200">
        <v>0.27941755214482489</v>
      </c>
      <c r="AH35" s="83" t="s">
        <v>47</v>
      </c>
      <c r="AI35" s="83" t="s">
        <v>47</v>
      </c>
      <c r="AJ35" s="85">
        <v>1939303.32</v>
      </c>
      <c r="AK35" s="85">
        <v>2.31</v>
      </c>
      <c r="AL35" s="83" t="s">
        <v>47</v>
      </c>
      <c r="AM35" s="83" t="s">
        <v>47</v>
      </c>
      <c r="AN35" s="85">
        <v>0</v>
      </c>
      <c r="AO35" s="85">
        <v>0</v>
      </c>
      <c r="AP35" s="85">
        <v>0</v>
      </c>
      <c r="AQ35" s="85">
        <v>0</v>
      </c>
      <c r="AR35" s="85">
        <v>17968.5</v>
      </c>
      <c r="AS35" s="85">
        <v>3588.4</v>
      </c>
      <c r="AT35" s="85">
        <v>14380.1</v>
      </c>
      <c r="AU35" s="85">
        <v>17968.5</v>
      </c>
      <c r="AV35" s="83" t="s">
        <v>340</v>
      </c>
      <c r="AW35" s="165" t="str">
        <f>VLOOKUP(AV35,Table3[#All],2,FALSE)</f>
        <v>Region5</v>
      </c>
      <c r="AX35" s="161" t="str">
        <f>IF(Key!$B$1&gt;0,CONCATENATE(O35,AW35),CONCATENATE(M35,AW35))</f>
        <v>AreaERegion5</v>
      </c>
    </row>
    <row r="36" spans="1:50" s="105" customFormat="1" ht="29.5" thickBot="1">
      <c r="A36" s="82" t="s">
        <v>305</v>
      </c>
      <c r="B36" s="83" t="s">
        <v>306</v>
      </c>
      <c r="C36" s="83" t="s">
        <v>44</v>
      </c>
      <c r="D36" s="84">
        <v>43100</v>
      </c>
      <c r="E36" s="83" t="s">
        <v>307</v>
      </c>
      <c r="F36" s="83" t="s">
        <v>308</v>
      </c>
      <c r="G36" s="85">
        <v>4</v>
      </c>
      <c r="H36" s="83" t="s">
        <v>106</v>
      </c>
      <c r="I36" s="85">
        <v>100</v>
      </c>
      <c r="J36" s="83" t="s">
        <v>49</v>
      </c>
      <c r="K36" s="83" t="s">
        <v>49</v>
      </c>
      <c r="L36" s="174">
        <v>693259</v>
      </c>
      <c r="M36" s="199" t="str">
        <f>VLOOKUP(L36,Table2[#All],2,TRUE)</f>
        <v>AreaE</v>
      </c>
      <c r="N36" s="85">
        <v>478.3</v>
      </c>
      <c r="O36" s="164" t="str">
        <f>VLOOKUP(N36,Table1[#All],2,TRUE)</f>
        <v>BedC</v>
      </c>
      <c r="P36" s="85">
        <v>2</v>
      </c>
      <c r="Q36" s="83" t="s">
        <v>50</v>
      </c>
      <c r="R36" s="83" t="s">
        <v>47</v>
      </c>
      <c r="S36" s="83" t="s">
        <v>47</v>
      </c>
      <c r="T36" s="85">
        <v>1826999.8</v>
      </c>
      <c r="U36" s="208">
        <v>54000.09999999986</v>
      </c>
      <c r="V36" s="83" t="s">
        <v>47</v>
      </c>
      <c r="W36" s="85">
        <v>1827000</v>
      </c>
      <c r="X36" s="85">
        <v>259055.50380490001</v>
      </c>
      <c r="Y36" s="208">
        <v>-60794.494309100002</v>
      </c>
      <c r="Z36" s="83" t="s">
        <v>47</v>
      </c>
      <c r="AA36" s="85">
        <v>100</v>
      </c>
      <c r="AB36" s="85">
        <v>46.4</v>
      </c>
      <c r="AC36" s="85">
        <v>32139274.5</v>
      </c>
      <c r="AD36" s="200">
        <v>-0.22462981003791049</v>
      </c>
      <c r="AE36" s="85">
        <v>32176525.399999999</v>
      </c>
      <c r="AF36" s="85">
        <v>48.6</v>
      </c>
      <c r="AG36" s="200">
        <v>-0.28571428571428586</v>
      </c>
      <c r="AH36" s="83" t="s">
        <v>47</v>
      </c>
      <c r="AI36" s="83" t="s">
        <v>47</v>
      </c>
      <c r="AJ36" s="85">
        <v>437983.39</v>
      </c>
      <c r="AK36" s="85">
        <v>0.63</v>
      </c>
      <c r="AL36" s="83" t="s">
        <v>47</v>
      </c>
      <c r="AM36" s="83" t="s">
        <v>47</v>
      </c>
      <c r="AN36" s="85">
        <v>0</v>
      </c>
      <c r="AO36" s="85">
        <v>0</v>
      </c>
      <c r="AP36" s="85">
        <v>0</v>
      </c>
      <c r="AQ36" s="85">
        <v>0</v>
      </c>
      <c r="AR36" s="85">
        <v>1376</v>
      </c>
      <c r="AS36" s="85">
        <v>1376</v>
      </c>
      <c r="AT36" s="85">
        <v>0</v>
      </c>
      <c r="AU36" s="85">
        <v>1376</v>
      </c>
      <c r="AV36" s="83" t="s">
        <v>309</v>
      </c>
      <c r="AW36" s="165" t="str">
        <f>VLOOKUP(AV36,Table3[#All],2,FALSE)</f>
        <v>Region4</v>
      </c>
      <c r="AX36" s="161" t="str">
        <f>IF(Key!$B$1&gt;0,CONCATENATE(O36,AW36),CONCATENATE(M36,AW36))</f>
        <v>AreaERegion4</v>
      </c>
    </row>
    <row r="37" spans="1:50" s="105" customFormat="1" ht="29.5" thickBot="1">
      <c r="A37" s="108" t="s">
        <v>274</v>
      </c>
      <c r="B37" s="109" t="s">
        <v>275</v>
      </c>
      <c r="C37" s="109" t="s">
        <v>44</v>
      </c>
      <c r="D37" s="110">
        <v>40908</v>
      </c>
      <c r="E37" s="109" t="s">
        <v>276</v>
      </c>
      <c r="F37" s="109" t="s">
        <v>277</v>
      </c>
      <c r="G37" s="111">
        <v>1</v>
      </c>
      <c r="H37" s="109" t="s">
        <v>83</v>
      </c>
      <c r="I37" s="111">
        <v>100</v>
      </c>
      <c r="J37" s="109" t="s">
        <v>49</v>
      </c>
      <c r="K37" s="109" t="s">
        <v>47</v>
      </c>
      <c r="L37" s="184">
        <v>197042</v>
      </c>
      <c r="M37" s="199" t="str">
        <f>VLOOKUP(L37,Table2[#All],2,TRUE)</f>
        <v>AreaC</v>
      </c>
      <c r="N37" s="111">
        <v>136</v>
      </c>
      <c r="O37" s="164" t="str">
        <f>VLOOKUP(N37,Table1[#All],2,TRUE)</f>
        <v>BedB</v>
      </c>
      <c r="P37" s="111">
        <v>1</v>
      </c>
      <c r="Q37" s="109" t="s">
        <v>50</v>
      </c>
      <c r="R37" s="109" t="s">
        <v>47</v>
      </c>
      <c r="S37" s="109" t="s">
        <v>47</v>
      </c>
      <c r="T37" s="111">
        <v>7068651.0999999996</v>
      </c>
      <c r="U37" s="208">
        <v>83369.800000000745</v>
      </c>
      <c r="V37" s="109" t="s">
        <v>47</v>
      </c>
      <c r="W37" s="111">
        <v>7068652</v>
      </c>
      <c r="X37" s="111">
        <v>283759.00030000001</v>
      </c>
      <c r="Y37" s="208">
        <v>32980</v>
      </c>
      <c r="Z37" s="109" t="s">
        <v>47</v>
      </c>
      <c r="AA37" s="111">
        <v>26</v>
      </c>
      <c r="AB37" s="111">
        <v>267.5</v>
      </c>
      <c r="AC37" s="111">
        <v>52701140.399999999</v>
      </c>
      <c r="AD37" s="200">
        <v>6.1579326073370674E-2</v>
      </c>
      <c r="AE37" s="111">
        <v>52069718</v>
      </c>
      <c r="AF37" s="111">
        <v>266.7</v>
      </c>
      <c r="AG37" s="200">
        <v>4.9536707056308027E-2</v>
      </c>
      <c r="AH37" s="109" t="s">
        <v>47</v>
      </c>
      <c r="AI37" s="111">
        <v>10203.200000000001</v>
      </c>
      <c r="AJ37" s="111">
        <v>591510.96</v>
      </c>
      <c r="AK37" s="111">
        <v>3</v>
      </c>
      <c r="AL37" s="111">
        <v>30371.66</v>
      </c>
      <c r="AM37" s="111">
        <v>0.15</v>
      </c>
      <c r="AN37" s="111">
        <v>0</v>
      </c>
      <c r="AO37" s="111">
        <v>0</v>
      </c>
      <c r="AP37" s="111">
        <v>0</v>
      </c>
      <c r="AQ37" s="111">
        <v>0</v>
      </c>
      <c r="AR37" s="111">
        <v>4119.8999999999996</v>
      </c>
      <c r="AS37" s="111">
        <v>1522.5</v>
      </c>
      <c r="AT37" s="111">
        <v>2597.4</v>
      </c>
      <c r="AU37" s="111">
        <v>4119.8999999999996</v>
      </c>
      <c r="AV37" s="109" t="s">
        <v>107</v>
      </c>
      <c r="AW37" s="165" t="str">
        <f>VLOOKUP(AV37,Table3[#All],2,FALSE)</f>
        <v>Region3</v>
      </c>
      <c r="AX37" s="161" t="str">
        <f>IF(Key!$B$1&gt;0,CONCATENATE(O37,AW37),CONCATENATE(M37,AW37))</f>
        <v>AreaCRegion3</v>
      </c>
    </row>
    <row r="38" spans="1:50" s="105" customFormat="1" ht="29.5" thickBot="1">
      <c r="A38" s="82" t="s">
        <v>322</v>
      </c>
      <c r="B38" s="83" t="s">
        <v>323</v>
      </c>
      <c r="C38" s="83" t="s">
        <v>44</v>
      </c>
      <c r="D38" s="84">
        <v>43100</v>
      </c>
      <c r="E38" s="83" t="s">
        <v>324</v>
      </c>
      <c r="F38" s="83" t="s">
        <v>325</v>
      </c>
      <c r="G38" s="85">
        <v>1</v>
      </c>
      <c r="H38" s="83" t="s">
        <v>133</v>
      </c>
      <c r="I38" s="85">
        <v>100</v>
      </c>
      <c r="J38" s="83" t="s">
        <v>49</v>
      </c>
      <c r="K38" s="83" t="s">
        <v>47</v>
      </c>
      <c r="L38" s="174">
        <v>786990</v>
      </c>
      <c r="M38" s="199" t="str">
        <f>VLOOKUP(L38,Table2[#All],2,TRUE)</f>
        <v>AreaE</v>
      </c>
      <c r="N38" s="85">
        <v>455</v>
      </c>
      <c r="O38" s="164" t="str">
        <f>VLOOKUP(N38,Table1[#All],2,TRUE)</f>
        <v>BedC</v>
      </c>
      <c r="P38" s="85">
        <v>1</v>
      </c>
      <c r="Q38" s="83" t="s">
        <v>50</v>
      </c>
      <c r="R38" s="83" t="s">
        <v>47</v>
      </c>
      <c r="S38" s="83" t="s">
        <v>47</v>
      </c>
      <c r="T38" s="85">
        <v>22467220.300000001</v>
      </c>
      <c r="U38" s="208">
        <v>2877678.1999999993</v>
      </c>
      <c r="V38" s="83" t="s">
        <v>47</v>
      </c>
      <c r="W38" s="85">
        <v>22467220</v>
      </c>
      <c r="X38" s="85">
        <v>1037270.691</v>
      </c>
      <c r="Y38" s="208">
        <v>134628.24400000006</v>
      </c>
      <c r="Z38" s="83" t="s">
        <v>47</v>
      </c>
      <c r="AA38" s="83" t="s">
        <v>47</v>
      </c>
      <c r="AB38" s="85">
        <v>228.8</v>
      </c>
      <c r="AC38" s="85">
        <v>180385234.09999999</v>
      </c>
      <c r="AD38" s="200">
        <v>0.11431158781929814</v>
      </c>
      <c r="AE38" s="83" t="s">
        <v>47</v>
      </c>
      <c r="AF38" s="85">
        <v>233.2</v>
      </c>
      <c r="AG38" s="200">
        <v>9.4368932038834993E-2</v>
      </c>
      <c r="AH38" s="83" t="s">
        <v>47</v>
      </c>
      <c r="AI38" s="83" t="s">
        <v>47</v>
      </c>
      <c r="AJ38" s="85">
        <v>2702786.88</v>
      </c>
      <c r="AK38" s="85">
        <v>3.43</v>
      </c>
      <c r="AL38" s="83" t="s">
        <v>47</v>
      </c>
      <c r="AM38" s="83" t="s">
        <v>47</v>
      </c>
      <c r="AN38" s="85">
        <v>0</v>
      </c>
      <c r="AO38" s="85">
        <v>0</v>
      </c>
      <c r="AP38" s="85">
        <v>0</v>
      </c>
      <c r="AQ38" s="85">
        <v>0</v>
      </c>
      <c r="AR38" s="85">
        <v>17663.099999999999</v>
      </c>
      <c r="AS38" s="85">
        <v>5509.4</v>
      </c>
      <c r="AT38" s="85">
        <v>12153.6</v>
      </c>
      <c r="AU38" s="85">
        <v>17663.099999999999</v>
      </c>
      <c r="AV38" s="83" t="s">
        <v>186</v>
      </c>
      <c r="AW38" s="165" t="str">
        <f>VLOOKUP(AV38,Table3[#All],2,FALSE)</f>
        <v>Region3</v>
      </c>
      <c r="AX38" s="161" t="str">
        <f>IF(Key!$B$1&gt;0,CONCATENATE(O38,AW38),CONCATENATE(M38,AW38))</f>
        <v>AreaERegion3</v>
      </c>
    </row>
    <row r="39" spans="1:50" s="105" customFormat="1" ht="29.5" thickBot="1">
      <c r="A39" s="64" t="s">
        <v>218</v>
      </c>
      <c r="B39" s="65" t="s">
        <v>219</v>
      </c>
      <c r="C39" s="65" t="s">
        <v>219</v>
      </c>
      <c r="D39" s="66">
        <v>41639</v>
      </c>
      <c r="E39" s="65" t="s">
        <v>216</v>
      </c>
      <c r="F39" s="65" t="s">
        <v>220</v>
      </c>
      <c r="G39" s="67">
        <v>12</v>
      </c>
      <c r="H39" s="65" t="s">
        <v>221</v>
      </c>
      <c r="I39" s="67">
        <v>100</v>
      </c>
      <c r="J39" s="65" t="s">
        <v>49</v>
      </c>
      <c r="K39" s="65" t="s">
        <v>49</v>
      </c>
      <c r="L39" s="168">
        <v>2971874</v>
      </c>
      <c r="M39" s="199" t="str">
        <f>VLOOKUP(L39,Table2[#All],2,TRUE)</f>
        <v>AreaF</v>
      </c>
      <c r="N39" s="67">
        <v>2050.6</v>
      </c>
      <c r="O39" s="164" t="str">
        <f>VLOOKUP(N39,Table1[#All],2,TRUE)</f>
        <v>BedD</v>
      </c>
      <c r="P39" s="67">
        <v>3</v>
      </c>
      <c r="Q39" s="65" t="s">
        <v>50</v>
      </c>
      <c r="R39" s="65" t="s">
        <v>47</v>
      </c>
      <c r="S39" s="65" t="s">
        <v>47</v>
      </c>
      <c r="T39" s="67">
        <v>26271182.899999999</v>
      </c>
      <c r="U39" s="208">
        <v>3276726.9000000022</v>
      </c>
      <c r="V39" s="65" t="s">
        <v>47</v>
      </c>
      <c r="W39" s="67">
        <v>26271190</v>
      </c>
      <c r="X39" s="67">
        <v>12801880.604180001</v>
      </c>
      <c r="Y39" s="208">
        <v>-249142.93966000155</v>
      </c>
      <c r="Z39" s="65" t="s">
        <v>47</v>
      </c>
      <c r="AA39" s="67">
        <v>70</v>
      </c>
      <c r="AB39" s="67">
        <v>309.5</v>
      </c>
      <c r="AC39" s="67">
        <v>919842924.39999998</v>
      </c>
      <c r="AD39" s="200">
        <v>-1.3756182635836724E-2</v>
      </c>
      <c r="AE39" s="67">
        <v>934186013.89999998</v>
      </c>
      <c r="AF39" s="67">
        <v>309.5</v>
      </c>
      <c r="AG39" s="200">
        <v>-1.3756960366852238E-2</v>
      </c>
      <c r="AH39" s="65" t="s">
        <v>47</v>
      </c>
      <c r="AI39" s="65" t="s">
        <v>47</v>
      </c>
      <c r="AJ39" s="65" t="s">
        <v>47</v>
      </c>
      <c r="AK39" s="65" t="s">
        <v>47</v>
      </c>
      <c r="AL39" s="65" t="s">
        <v>47</v>
      </c>
      <c r="AM39" s="65" t="s">
        <v>47</v>
      </c>
      <c r="AN39" s="67">
        <v>1304260</v>
      </c>
      <c r="AO39" s="67">
        <v>0</v>
      </c>
      <c r="AP39" s="67">
        <v>0</v>
      </c>
      <c r="AQ39" s="67">
        <v>0</v>
      </c>
      <c r="AR39" s="67">
        <v>45873.7</v>
      </c>
      <c r="AS39" s="67">
        <v>69550.7</v>
      </c>
      <c r="AT39" s="67">
        <v>-23677</v>
      </c>
      <c r="AU39" s="67">
        <v>45873.7</v>
      </c>
      <c r="AV39" s="65" t="s">
        <v>216</v>
      </c>
      <c r="AW39" s="165" t="str">
        <f>VLOOKUP(AV39,Table3[#All],2,FALSE)</f>
        <v>Region1</v>
      </c>
      <c r="AX39" s="161" t="str">
        <f>IF(Key!$B$1&gt;0,CONCATENATE(O39,AW39),CONCATENATE(M39,AW39))</f>
        <v>AreaFRegion1</v>
      </c>
    </row>
    <row r="40" spans="1:50" s="105" customFormat="1" ht="29">
      <c r="A40" s="64" t="s">
        <v>214</v>
      </c>
      <c r="B40" s="65" t="s">
        <v>215</v>
      </c>
      <c r="C40" s="65" t="s">
        <v>215</v>
      </c>
      <c r="D40" s="66">
        <v>41639</v>
      </c>
      <c r="E40" s="65" t="s">
        <v>216</v>
      </c>
      <c r="F40" s="65" t="s">
        <v>217</v>
      </c>
      <c r="G40" s="67">
        <v>12</v>
      </c>
      <c r="H40" s="65" t="s">
        <v>48</v>
      </c>
      <c r="I40" s="67">
        <v>100</v>
      </c>
      <c r="J40" s="65" t="s">
        <v>49</v>
      </c>
      <c r="K40" s="65" t="s">
        <v>49</v>
      </c>
      <c r="L40" s="168">
        <v>3889181</v>
      </c>
      <c r="M40" s="199" t="str">
        <f>VLOOKUP(L40,Table2[#All],2,TRUE)</f>
        <v>AreaF</v>
      </c>
      <c r="N40" s="67">
        <v>2683.5</v>
      </c>
      <c r="O40" s="164" t="str">
        <f>VLOOKUP(N40,Table1[#All],2,TRUE)</f>
        <v>BedD</v>
      </c>
      <c r="P40" s="67">
        <v>9</v>
      </c>
      <c r="Q40" s="65" t="s">
        <v>50</v>
      </c>
      <c r="R40" s="65" t="s">
        <v>47</v>
      </c>
      <c r="S40" s="65" t="s">
        <v>47</v>
      </c>
      <c r="T40" s="67">
        <v>101464098.7</v>
      </c>
      <c r="U40" s="208">
        <v>-70170.70000000298</v>
      </c>
      <c r="V40" s="65" t="s">
        <v>47</v>
      </c>
      <c r="W40" s="67">
        <v>101464100</v>
      </c>
      <c r="X40" s="67">
        <v>9050832.4900000002</v>
      </c>
      <c r="Y40" s="208">
        <v>12660.650000000373</v>
      </c>
      <c r="Z40" s="65" t="s">
        <v>47</v>
      </c>
      <c r="AA40" s="67">
        <v>8</v>
      </c>
      <c r="AB40" s="67">
        <v>331.2</v>
      </c>
      <c r="AC40" s="67">
        <v>1288255036.5999999</v>
      </c>
      <c r="AD40" s="200">
        <v>-0.10411731256041754</v>
      </c>
      <c r="AE40" s="67">
        <v>1291585175.5999999</v>
      </c>
      <c r="AF40" s="67">
        <v>331.3</v>
      </c>
      <c r="AG40" s="200">
        <v>-8.4096858638743416E-2</v>
      </c>
      <c r="AH40" s="65" t="s">
        <v>47</v>
      </c>
      <c r="AI40" s="65" t="s">
        <v>47</v>
      </c>
      <c r="AJ40" s="65" t="s">
        <v>47</v>
      </c>
      <c r="AK40" s="65" t="s">
        <v>47</v>
      </c>
      <c r="AL40" s="65" t="s">
        <v>47</v>
      </c>
      <c r="AM40" s="65" t="s">
        <v>47</v>
      </c>
      <c r="AN40" s="67">
        <v>763384</v>
      </c>
      <c r="AO40" s="67">
        <v>0</v>
      </c>
      <c r="AP40" s="67">
        <v>0</v>
      </c>
      <c r="AQ40" s="67">
        <v>0</v>
      </c>
      <c r="AR40" s="67">
        <v>80167.600000000006</v>
      </c>
      <c r="AS40" s="67">
        <v>50958.6</v>
      </c>
      <c r="AT40" s="67">
        <v>29209.1</v>
      </c>
      <c r="AU40" s="67">
        <v>80167.600000000006</v>
      </c>
      <c r="AV40" s="65" t="s">
        <v>216</v>
      </c>
      <c r="AW40" s="165" t="str">
        <f>VLOOKUP(AV40,Table3[#All],2,FALSE)</f>
        <v>Region1</v>
      </c>
      <c r="AX40" s="161" t="str">
        <f>IF(Key!$B$1&gt;0,CONCATENATE(O40,AW40),CONCATENATE(M40,AW40))</f>
        <v>AreaFRegion1</v>
      </c>
    </row>
    <row r="41" spans="1:50" s="106" customFormat="1" ht="29">
      <c r="A41" s="71">
        <v>28400</v>
      </c>
      <c r="B41" s="44" t="s">
        <v>215</v>
      </c>
      <c r="C41" s="44" t="s">
        <v>215</v>
      </c>
      <c r="D41" s="48">
        <v>39447</v>
      </c>
      <c r="E41" s="44" t="s">
        <v>216</v>
      </c>
      <c r="F41" s="44">
        <v>10032</v>
      </c>
      <c r="G41" s="44">
        <v>12</v>
      </c>
      <c r="H41" s="44">
        <v>1969</v>
      </c>
      <c r="I41" s="44">
        <v>100</v>
      </c>
      <c r="J41" s="44" t="s">
        <v>49</v>
      </c>
      <c r="K41" s="44" t="s">
        <v>49</v>
      </c>
      <c r="L41" s="170">
        <v>3889181</v>
      </c>
      <c r="M41" s="199" t="str">
        <f>VLOOKUP(L41,Table2[#All],2,TRUE)</f>
        <v>AreaF</v>
      </c>
      <c r="N41" s="44">
        <v>2683.5</v>
      </c>
      <c r="O41" s="164" t="str">
        <f>VLOOKUP(N41,Table1[#All],2,TRUE)</f>
        <v>BedD</v>
      </c>
      <c r="P41" s="44">
        <v>9</v>
      </c>
      <c r="Q41" s="44" t="s">
        <v>113</v>
      </c>
      <c r="R41" s="44" t="s">
        <v>47</v>
      </c>
      <c r="S41" s="44" t="s">
        <v>47</v>
      </c>
      <c r="T41" s="44">
        <v>92146534.099999994</v>
      </c>
      <c r="U41" s="209">
        <v>8677674.8000000119</v>
      </c>
      <c r="V41" s="44" t="s">
        <v>47</v>
      </c>
      <c r="W41" s="44">
        <v>92146550</v>
      </c>
      <c r="X41" s="44">
        <v>7118939.6260000002</v>
      </c>
      <c r="Y41" s="209">
        <v>-954981.70500000007</v>
      </c>
      <c r="Z41" s="44" t="s">
        <v>47</v>
      </c>
      <c r="AA41" s="44">
        <v>60</v>
      </c>
      <c r="AB41" s="44">
        <v>239.3</v>
      </c>
      <c r="AC41" s="44">
        <v>930524666.10000002</v>
      </c>
      <c r="AD41" s="201">
        <v>0.17624890106172769</v>
      </c>
      <c r="AE41" s="44">
        <v>925474024.10000002</v>
      </c>
      <c r="AF41" s="44">
        <v>243.6</v>
      </c>
      <c r="AG41" s="201">
        <v>0.13525026624068157</v>
      </c>
      <c r="AH41" s="44" t="s">
        <v>47</v>
      </c>
      <c r="AI41" s="44">
        <v>329033.7</v>
      </c>
      <c r="AJ41" s="44" t="s">
        <v>47</v>
      </c>
      <c r="AK41" s="44" t="s">
        <v>47</v>
      </c>
      <c r="AL41" s="44" t="s">
        <v>47</v>
      </c>
      <c r="AM41" s="44" t="s">
        <v>47</v>
      </c>
      <c r="AN41" s="44">
        <v>763384</v>
      </c>
      <c r="AO41" s="44">
        <v>0</v>
      </c>
      <c r="AP41" s="44">
        <v>0</v>
      </c>
      <c r="AQ41" s="44">
        <v>0</v>
      </c>
      <c r="AR41" s="44">
        <v>61081.599999999999</v>
      </c>
      <c r="AS41" s="44">
        <v>63083</v>
      </c>
      <c r="AT41" s="44">
        <v>-2001.4</v>
      </c>
      <c r="AU41" s="44">
        <v>61081.599999999999</v>
      </c>
      <c r="AV41" s="44" t="s">
        <v>216</v>
      </c>
      <c r="AW41" s="165" t="str">
        <f>VLOOKUP(AV41,Table3[#All],2,FALSE)</f>
        <v>Region1</v>
      </c>
      <c r="AX41" s="161" t="str">
        <f>IF(Key!$B$1&gt;0,CONCATENATE(O41,AW41),CONCATENATE(M41,AW41))</f>
        <v>AreaFRegion1</v>
      </c>
    </row>
    <row r="42" spans="1:50" s="106" customFormat="1" ht="29">
      <c r="A42" s="72" t="s">
        <v>214</v>
      </c>
      <c r="B42" s="38" t="s">
        <v>215</v>
      </c>
      <c r="C42" s="38" t="s">
        <v>215</v>
      </c>
      <c r="D42" s="39">
        <v>39082</v>
      </c>
      <c r="E42" s="38" t="s">
        <v>216</v>
      </c>
      <c r="F42" s="38" t="s">
        <v>217</v>
      </c>
      <c r="G42" s="40">
        <v>12</v>
      </c>
      <c r="H42" s="38" t="s">
        <v>48</v>
      </c>
      <c r="I42" s="40">
        <v>100</v>
      </c>
      <c r="J42" s="38" t="s">
        <v>49</v>
      </c>
      <c r="K42" s="38" t="s">
        <v>49</v>
      </c>
      <c r="L42" s="171">
        <v>3889181</v>
      </c>
      <c r="M42" s="199" t="str">
        <f>VLOOKUP(L42,Table2[#All],2,TRUE)</f>
        <v>AreaF</v>
      </c>
      <c r="N42" s="40">
        <v>2683.5</v>
      </c>
      <c r="O42" s="164" t="str">
        <f>VLOOKUP(N42,Table1[#All],2,TRUE)</f>
        <v>BedD</v>
      </c>
      <c r="P42" s="40">
        <v>9</v>
      </c>
      <c r="Q42" s="38" t="s">
        <v>113</v>
      </c>
      <c r="R42" s="38" t="s">
        <v>47</v>
      </c>
      <c r="S42" s="38" t="s">
        <v>47</v>
      </c>
      <c r="T42" s="40">
        <v>100824208.90000001</v>
      </c>
      <c r="U42" s="209">
        <v>-11359234.900000006</v>
      </c>
      <c r="V42" s="38" t="s">
        <v>47</v>
      </c>
      <c r="W42" s="40">
        <v>100824200</v>
      </c>
      <c r="X42" s="40">
        <v>6163957.9214000003</v>
      </c>
      <c r="Y42" s="209">
        <v>-508405.77280000038</v>
      </c>
      <c r="Z42" s="38" t="s">
        <v>47</v>
      </c>
      <c r="AA42" s="40">
        <v>23</v>
      </c>
      <c r="AB42" s="40">
        <v>290.5</v>
      </c>
      <c r="AC42" s="40">
        <v>1129618725.0999999</v>
      </c>
      <c r="AD42" s="201">
        <v>-7.6963796822152764E-2</v>
      </c>
      <c r="AE42" s="40">
        <v>1130930201.5999999</v>
      </c>
      <c r="AF42" s="40">
        <v>281.7</v>
      </c>
      <c r="AG42" s="201">
        <v>-4.682274247491626E-2</v>
      </c>
      <c r="AH42" s="38" t="s">
        <v>47</v>
      </c>
      <c r="AI42" s="40">
        <v>340540.3</v>
      </c>
      <c r="AJ42" s="38" t="s">
        <v>47</v>
      </c>
      <c r="AK42" s="38" t="s">
        <v>47</v>
      </c>
      <c r="AL42" s="38" t="s">
        <v>47</v>
      </c>
      <c r="AM42" s="38" t="s">
        <v>47</v>
      </c>
      <c r="AN42" s="40">
        <v>763384</v>
      </c>
      <c r="AO42" s="40">
        <v>0</v>
      </c>
      <c r="AP42" s="40">
        <v>0</v>
      </c>
      <c r="AQ42" s="40">
        <v>0</v>
      </c>
      <c r="AR42" s="40">
        <v>76719.399999999994</v>
      </c>
      <c r="AS42" s="40">
        <v>63760.3</v>
      </c>
      <c r="AT42" s="40">
        <v>12959.1</v>
      </c>
      <c r="AU42" s="40">
        <v>76719.399999999994</v>
      </c>
      <c r="AV42" s="38" t="s">
        <v>216</v>
      </c>
      <c r="AW42" s="165" t="str">
        <f>VLOOKUP(AV42,Table3[#All],2,FALSE)</f>
        <v>Region1</v>
      </c>
      <c r="AX42" s="161" t="str">
        <f>IF(Key!$B$1&gt;0,CONCATENATE(O42,AW42),CONCATENATE(M42,AW42))</f>
        <v>AreaFRegion1</v>
      </c>
    </row>
    <row r="43" spans="1:50" s="106" customFormat="1" ht="29.5" thickBot="1">
      <c r="A43" s="89" t="s">
        <v>214</v>
      </c>
      <c r="B43" s="41" t="s">
        <v>215</v>
      </c>
      <c r="C43" s="41" t="s">
        <v>215</v>
      </c>
      <c r="D43" s="42">
        <v>38717</v>
      </c>
      <c r="E43" s="41" t="s">
        <v>216</v>
      </c>
      <c r="F43" s="41" t="s">
        <v>217</v>
      </c>
      <c r="G43" s="43">
        <v>12</v>
      </c>
      <c r="H43" s="41" t="s">
        <v>48</v>
      </c>
      <c r="I43" s="43">
        <v>100</v>
      </c>
      <c r="J43" s="41" t="s">
        <v>49</v>
      </c>
      <c r="K43" s="41" t="s">
        <v>49</v>
      </c>
      <c r="L43" s="176">
        <v>3889181</v>
      </c>
      <c r="M43" s="199" t="str">
        <f>VLOOKUP(L43,Table2[#All],2,TRUE)</f>
        <v>AreaF</v>
      </c>
      <c r="N43" s="43">
        <v>2683.5</v>
      </c>
      <c r="O43" s="164" t="str">
        <f>VLOOKUP(N43,Table1[#All],2,TRUE)</f>
        <v>BedD</v>
      </c>
      <c r="P43" s="43">
        <v>9</v>
      </c>
      <c r="Q43" s="41" t="s">
        <v>113</v>
      </c>
      <c r="R43" s="41" t="s">
        <v>47</v>
      </c>
      <c r="S43" s="41" t="s">
        <v>47</v>
      </c>
      <c r="T43" s="43">
        <v>89464974</v>
      </c>
      <c r="U43" s="209">
        <v>1170061</v>
      </c>
      <c r="V43" s="41" t="s">
        <v>47</v>
      </c>
      <c r="W43" s="43">
        <v>89464980</v>
      </c>
      <c r="X43" s="43">
        <v>5655552.1486</v>
      </c>
      <c r="Y43" s="209">
        <v>-542067.3786000004</v>
      </c>
      <c r="Z43" s="41" t="s">
        <v>47</v>
      </c>
      <c r="AA43" s="43">
        <v>43</v>
      </c>
      <c r="AB43" s="43">
        <v>269.7</v>
      </c>
      <c r="AC43" s="43">
        <v>1048892013.3</v>
      </c>
      <c r="AD43" s="201">
        <v>0.25540376756690286</v>
      </c>
      <c r="AE43" s="43">
        <v>1043154544.2</v>
      </c>
      <c r="AF43" s="43">
        <v>269.10000000000002</v>
      </c>
      <c r="AG43" s="201">
        <v>0.25724537675959147</v>
      </c>
      <c r="AH43" s="41" t="s">
        <v>47</v>
      </c>
      <c r="AI43" s="41" t="s">
        <v>47</v>
      </c>
      <c r="AJ43" s="41" t="s">
        <v>47</v>
      </c>
      <c r="AK43" s="41" t="s">
        <v>47</v>
      </c>
      <c r="AL43" s="41" t="s">
        <v>47</v>
      </c>
      <c r="AM43" s="41" t="s">
        <v>47</v>
      </c>
      <c r="AN43" s="43">
        <v>763384</v>
      </c>
      <c r="AO43" s="43">
        <v>0</v>
      </c>
      <c r="AP43" s="43">
        <v>0</v>
      </c>
      <c r="AQ43" s="43">
        <v>0</v>
      </c>
      <c r="AR43" s="43">
        <v>71529.3</v>
      </c>
      <c r="AS43" s="43">
        <v>64086.8</v>
      </c>
      <c r="AT43" s="43">
        <v>7442.5</v>
      </c>
      <c r="AU43" s="43">
        <v>71529.3</v>
      </c>
      <c r="AV43" s="41" t="s">
        <v>216</v>
      </c>
      <c r="AW43" s="165" t="str">
        <f>VLOOKUP(AV43,Table3[#All],2,FALSE)</f>
        <v>Region1</v>
      </c>
      <c r="AX43" s="161" t="str">
        <f>IF(Key!$B$1&gt;0,CONCATENATE(O43,AW43),CONCATENATE(M43,AW43))</f>
        <v>AreaFRegion1</v>
      </c>
    </row>
    <row r="44" spans="1:50" s="105" customFormat="1" ht="29">
      <c r="A44" s="73" t="s">
        <v>52</v>
      </c>
      <c r="B44" s="74" t="s">
        <v>53</v>
      </c>
      <c r="C44" s="74" t="s">
        <v>53</v>
      </c>
      <c r="D44" s="75">
        <v>42735</v>
      </c>
      <c r="E44" s="74" t="s">
        <v>54</v>
      </c>
      <c r="F44" s="74" t="s">
        <v>55</v>
      </c>
      <c r="G44" s="76">
        <v>2</v>
      </c>
      <c r="H44" s="74" t="s">
        <v>56</v>
      </c>
      <c r="I44" s="76">
        <v>100</v>
      </c>
      <c r="J44" s="74" t="s">
        <v>49</v>
      </c>
      <c r="K44" s="74" t="s">
        <v>47</v>
      </c>
      <c r="L44" s="172">
        <v>869102</v>
      </c>
      <c r="M44" s="199" t="str">
        <f>VLOOKUP(L44,Table2[#All],2,TRUE)</f>
        <v>AreaE</v>
      </c>
      <c r="N44" s="76">
        <v>474</v>
      </c>
      <c r="O44" s="164" t="str">
        <f>VLOOKUP(N44,Table1[#All],2,TRUE)</f>
        <v>BedC</v>
      </c>
      <c r="P44" s="76">
        <v>2</v>
      </c>
      <c r="Q44" s="74" t="s">
        <v>50</v>
      </c>
      <c r="R44" s="74" t="s">
        <v>47</v>
      </c>
      <c r="S44" s="74" t="s">
        <v>47</v>
      </c>
      <c r="T44" s="76">
        <v>22562009.600000001</v>
      </c>
      <c r="U44" s="208">
        <v>997654.69999999925</v>
      </c>
      <c r="V44" s="74" t="s">
        <v>47</v>
      </c>
      <c r="W44" s="76">
        <v>22562010</v>
      </c>
      <c r="X44" s="76">
        <v>748164.94449999998</v>
      </c>
      <c r="Y44" s="208">
        <v>63299.88432000007</v>
      </c>
      <c r="Z44" s="74" t="s">
        <v>47</v>
      </c>
      <c r="AA44" s="76">
        <v>83</v>
      </c>
      <c r="AB44" s="76">
        <v>174.7</v>
      </c>
      <c r="AC44" s="76">
        <v>151798080.59999999</v>
      </c>
      <c r="AD44" s="200">
        <v>6.0260397633294167E-2</v>
      </c>
      <c r="AE44" s="76">
        <v>153461929.40000001</v>
      </c>
      <c r="AF44" s="76">
        <v>173.4</v>
      </c>
      <c r="AG44" s="200">
        <v>6.4724919093851127E-2</v>
      </c>
      <c r="AH44" s="74" t="s">
        <v>47</v>
      </c>
      <c r="AI44" s="76">
        <v>50531.5</v>
      </c>
      <c r="AJ44" s="76">
        <v>1568349.18</v>
      </c>
      <c r="AK44" s="76">
        <v>1.8</v>
      </c>
      <c r="AL44" s="76">
        <v>489169.57</v>
      </c>
      <c r="AM44" s="76">
        <v>0.56000000000000005</v>
      </c>
      <c r="AN44" s="76">
        <v>0</v>
      </c>
      <c r="AO44" s="76">
        <v>0</v>
      </c>
      <c r="AP44" s="76">
        <v>0</v>
      </c>
      <c r="AQ44" s="76">
        <v>0</v>
      </c>
      <c r="AR44" s="76">
        <v>14351.4</v>
      </c>
      <c r="AS44" s="76">
        <v>3973.9</v>
      </c>
      <c r="AT44" s="76">
        <v>10377.6</v>
      </c>
      <c r="AU44" s="76">
        <v>14351.4</v>
      </c>
      <c r="AV44" s="74" t="s">
        <v>57</v>
      </c>
      <c r="AW44" s="165" t="str">
        <f>VLOOKUP(AV44,Table3[#All],2,FALSE)</f>
        <v>Region7</v>
      </c>
      <c r="AX44" s="161" t="str">
        <f>IF(Key!$B$1&gt;0,CONCATENATE(O44,AW44),CONCATENATE(M44,AW44))</f>
        <v>AreaERegion7</v>
      </c>
    </row>
    <row r="45" spans="1:50" s="56" customFormat="1" ht="29">
      <c r="A45" s="113" t="s">
        <v>52</v>
      </c>
      <c r="B45" s="46" t="s">
        <v>53</v>
      </c>
      <c r="C45" s="46" t="s">
        <v>53</v>
      </c>
      <c r="D45" s="50">
        <v>42369</v>
      </c>
      <c r="E45" s="46" t="s">
        <v>54</v>
      </c>
      <c r="F45" s="46" t="s">
        <v>55</v>
      </c>
      <c r="G45" s="53">
        <v>2</v>
      </c>
      <c r="H45" s="46" t="s">
        <v>56</v>
      </c>
      <c r="I45" s="53">
        <v>100</v>
      </c>
      <c r="J45" s="46" t="s">
        <v>49</v>
      </c>
      <c r="K45" s="46" t="s">
        <v>47</v>
      </c>
      <c r="L45" s="186">
        <v>869102</v>
      </c>
      <c r="M45" s="199" t="str">
        <f>VLOOKUP(L45,Table2[#All],2,TRUE)</f>
        <v>AreaE</v>
      </c>
      <c r="N45" s="53">
        <v>279.19</v>
      </c>
      <c r="O45" s="164" t="str">
        <f>VLOOKUP(N45,Table1[#All],2,TRUE)</f>
        <v>BedB</v>
      </c>
      <c r="P45" s="53">
        <v>2</v>
      </c>
      <c r="Q45" s="46" t="s">
        <v>50</v>
      </c>
      <c r="R45" s="46" t="s">
        <v>47</v>
      </c>
      <c r="S45" s="46" t="s">
        <v>47</v>
      </c>
      <c r="T45" s="53">
        <v>23559664.300000001</v>
      </c>
      <c r="U45" s="210">
        <v>3251053.8999999985</v>
      </c>
      <c r="V45" s="46" t="s">
        <v>47</v>
      </c>
      <c r="W45" s="53">
        <v>23559670</v>
      </c>
      <c r="X45" s="53">
        <v>811464.82882000005</v>
      </c>
      <c r="Y45" s="210">
        <v>259731.25078</v>
      </c>
      <c r="Z45" s="46" t="s">
        <v>47</v>
      </c>
      <c r="AA45" s="53">
        <v>74</v>
      </c>
      <c r="AB45" s="53">
        <v>185.9</v>
      </c>
      <c r="AC45" s="53">
        <v>161532067.19999999</v>
      </c>
      <c r="AD45" s="202">
        <v>0.1866371342466529</v>
      </c>
      <c r="AE45" s="53">
        <v>164543190.5</v>
      </c>
      <c r="AF45" s="53">
        <v>185.4</v>
      </c>
      <c r="AG45" s="202">
        <v>0.19250871080139367</v>
      </c>
      <c r="AH45" s="46" t="s">
        <v>47</v>
      </c>
      <c r="AI45" s="53">
        <v>51096.2</v>
      </c>
      <c r="AJ45" s="53">
        <v>1721533.57</v>
      </c>
      <c r="AK45" s="53">
        <v>1.98</v>
      </c>
      <c r="AL45" s="53">
        <v>497578.2</v>
      </c>
      <c r="AM45" s="53">
        <v>0.56999999999999995</v>
      </c>
      <c r="AN45" s="53">
        <v>0</v>
      </c>
      <c r="AO45" s="53">
        <v>0</v>
      </c>
      <c r="AP45" s="53">
        <v>0</v>
      </c>
      <c r="AQ45" s="53">
        <v>0</v>
      </c>
      <c r="AR45" s="53">
        <v>15146.5</v>
      </c>
      <c r="AS45" s="53">
        <v>4310.1000000000004</v>
      </c>
      <c r="AT45" s="53">
        <v>10836.5</v>
      </c>
      <c r="AU45" s="53">
        <v>15146.5</v>
      </c>
      <c r="AV45" s="46" t="s">
        <v>57</v>
      </c>
      <c r="AW45" s="165" t="str">
        <f>VLOOKUP(AV45,Table3[#All],2,FALSE)</f>
        <v>Region7</v>
      </c>
      <c r="AX45" s="161" t="str">
        <f>IF(Key!$B$1&gt;0,CONCATENATE(O45,AW45),CONCATENATE(M45,AW45))</f>
        <v>AreaERegion7</v>
      </c>
    </row>
    <row r="46" spans="1:50" s="115" customFormat="1" ht="29.5" thickBot="1">
      <c r="A46" s="116" t="s">
        <v>52</v>
      </c>
      <c r="B46" s="20" t="s">
        <v>53</v>
      </c>
      <c r="C46" s="20" t="s">
        <v>53</v>
      </c>
      <c r="D46" s="21">
        <v>42004</v>
      </c>
      <c r="E46" s="20" t="s">
        <v>54</v>
      </c>
      <c r="F46" s="20" t="s">
        <v>55</v>
      </c>
      <c r="G46" s="22">
        <v>2</v>
      </c>
      <c r="H46" s="20" t="s">
        <v>56</v>
      </c>
      <c r="I46" s="22">
        <v>100</v>
      </c>
      <c r="J46" s="20" t="s">
        <v>49</v>
      </c>
      <c r="K46" s="20" t="s">
        <v>47</v>
      </c>
      <c r="L46" s="188">
        <v>869102</v>
      </c>
      <c r="M46" s="199" t="str">
        <f>VLOOKUP(L46,Table2[#All],2,TRUE)</f>
        <v>AreaE</v>
      </c>
      <c r="N46" s="22">
        <v>263</v>
      </c>
      <c r="O46" s="164" t="str">
        <f>VLOOKUP(N46,Table1[#All],2,TRUE)</f>
        <v>BedB</v>
      </c>
      <c r="P46" s="22">
        <v>2</v>
      </c>
      <c r="Q46" s="20" t="s">
        <v>50</v>
      </c>
      <c r="R46" s="20" t="s">
        <v>47</v>
      </c>
      <c r="S46" s="20" t="s">
        <v>47</v>
      </c>
      <c r="T46" s="22">
        <v>26810718.199999999</v>
      </c>
      <c r="U46" s="209">
        <v>1327304.4000000022</v>
      </c>
      <c r="V46" s="20" t="s">
        <v>47</v>
      </c>
      <c r="W46" s="22">
        <v>26810720</v>
      </c>
      <c r="X46" s="22">
        <v>1071196.0796000001</v>
      </c>
      <c r="Y46" s="209">
        <v>41369.53816999984</v>
      </c>
      <c r="Z46" s="20" t="s">
        <v>47</v>
      </c>
      <c r="AA46" s="22">
        <v>41</v>
      </c>
      <c r="AB46" s="22">
        <v>228.5</v>
      </c>
      <c r="AC46" s="22">
        <v>198597789.5</v>
      </c>
      <c r="AD46" s="201">
        <v>4.1810143745686361E-2</v>
      </c>
      <c r="AE46" s="22">
        <v>201168257.09999999</v>
      </c>
      <c r="AF46" s="22">
        <v>229.6</v>
      </c>
      <c r="AG46" s="201">
        <v>3.9732329569217899E-2</v>
      </c>
      <c r="AH46" s="20" t="s">
        <v>47</v>
      </c>
      <c r="AI46" s="22">
        <v>61534</v>
      </c>
      <c r="AJ46" s="22">
        <v>2412036.38</v>
      </c>
      <c r="AK46" s="22">
        <v>2.78</v>
      </c>
      <c r="AL46" s="22">
        <v>563729.11</v>
      </c>
      <c r="AM46" s="22">
        <v>0.65</v>
      </c>
      <c r="AN46" s="22">
        <v>0</v>
      </c>
      <c r="AO46" s="22">
        <v>0</v>
      </c>
      <c r="AP46" s="22">
        <v>0</v>
      </c>
      <c r="AQ46" s="22">
        <v>0</v>
      </c>
      <c r="AR46" s="22">
        <v>18021.400000000001</v>
      </c>
      <c r="AS46" s="22">
        <v>5689.6</v>
      </c>
      <c r="AT46" s="22">
        <v>12331.8</v>
      </c>
      <c r="AU46" s="22">
        <v>18021.400000000001</v>
      </c>
      <c r="AV46" s="20" t="s">
        <v>57</v>
      </c>
      <c r="AW46" s="165" t="str">
        <f>VLOOKUP(AV46,Table3[#All],2,FALSE)</f>
        <v>Region7</v>
      </c>
      <c r="AX46" s="161" t="str">
        <f>IF(Key!$B$1&gt;0,CONCATENATE(O46,AW46),CONCATENATE(M46,AW46))</f>
        <v>AreaERegion7</v>
      </c>
    </row>
    <row r="47" spans="1:50" s="117" customFormat="1" ht="29.5" thickBot="1">
      <c r="A47" s="82" t="s">
        <v>368</v>
      </c>
      <c r="B47" s="83" t="s">
        <v>369</v>
      </c>
      <c r="C47" s="83" t="s">
        <v>44</v>
      </c>
      <c r="D47" s="84">
        <v>43100</v>
      </c>
      <c r="E47" s="83" t="s">
        <v>370</v>
      </c>
      <c r="F47" s="83" t="s">
        <v>371</v>
      </c>
      <c r="G47" s="85">
        <v>1</v>
      </c>
      <c r="H47" s="83" t="s">
        <v>372</v>
      </c>
      <c r="I47" s="85">
        <v>85</v>
      </c>
      <c r="J47" s="83" t="s">
        <v>49</v>
      </c>
      <c r="K47" s="83" t="s">
        <v>47</v>
      </c>
      <c r="L47" s="174">
        <v>493454</v>
      </c>
      <c r="M47" s="199" t="str">
        <f>VLOOKUP(L47,Table2[#All],2,TRUE)</f>
        <v>AreaD</v>
      </c>
      <c r="N47" s="85">
        <v>205</v>
      </c>
      <c r="O47" s="164" t="str">
        <f>VLOOKUP(N47,Table1[#All],2,TRUE)</f>
        <v>BedB</v>
      </c>
      <c r="P47" s="85">
        <v>1</v>
      </c>
      <c r="Q47" s="83" t="s">
        <v>113</v>
      </c>
      <c r="R47" s="83" t="s">
        <v>47</v>
      </c>
      <c r="S47" s="83" t="s">
        <v>47</v>
      </c>
      <c r="T47" s="85">
        <v>14225356.800000001</v>
      </c>
      <c r="U47" s="208">
        <v>1575418.7999999989</v>
      </c>
      <c r="V47" s="83" t="s">
        <v>47</v>
      </c>
      <c r="W47" s="85">
        <v>14225360</v>
      </c>
      <c r="X47" s="85">
        <v>601965.03890000004</v>
      </c>
      <c r="Y47" s="208">
        <v>111557.77419999999</v>
      </c>
      <c r="Z47" s="83" t="s">
        <v>47</v>
      </c>
      <c r="AA47" s="85">
        <v>50</v>
      </c>
      <c r="AB47" s="85">
        <v>220.4</v>
      </c>
      <c r="AC47" s="85">
        <v>108733427.09999999</v>
      </c>
      <c r="AD47" s="200">
        <v>0.13196957446241073</v>
      </c>
      <c r="AE47" s="85">
        <v>110261141.3</v>
      </c>
      <c r="AF47" s="85">
        <v>224.1</v>
      </c>
      <c r="AG47" s="200">
        <v>0.13105854982551371</v>
      </c>
      <c r="AH47" s="83" t="s">
        <v>47</v>
      </c>
      <c r="AI47" s="83" t="s">
        <v>47</v>
      </c>
      <c r="AJ47" s="83" t="s">
        <v>47</v>
      </c>
      <c r="AK47" s="83" t="s">
        <v>47</v>
      </c>
      <c r="AL47" s="83" t="s">
        <v>47</v>
      </c>
      <c r="AM47" s="83" t="s">
        <v>47</v>
      </c>
      <c r="AN47" s="85">
        <v>0</v>
      </c>
      <c r="AO47" s="85">
        <v>0</v>
      </c>
      <c r="AP47" s="85">
        <v>0</v>
      </c>
      <c r="AQ47" s="85">
        <v>0</v>
      </c>
      <c r="AR47" s="85">
        <v>10892.5</v>
      </c>
      <c r="AS47" s="85">
        <v>3197.3</v>
      </c>
      <c r="AT47" s="85">
        <v>7695.2</v>
      </c>
      <c r="AU47" s="85">
        <v>10892.5</v>
      </c>
      <c r="AV47" s="83" t="s">
        <v>186</v>
      </c>
      <c r="AW47" s="165" t="str">
        <f>VLOOKUP(AV47,Table3[#All],2,FALSE)</f>
        <v>Region3</v>
      </c>
      <c r="AX47" s="161" t="str">
        <f>IF(Key!$B$1&gt;0,CONCATENATE(O47,AW47),CONCATENATE(M47,AW47))</f>
        <v>AreaDRegion3</v>
      </c>
    </row>
    <row r="48" spans="1:50" s="117" customFormat="1" ht="29">
      <c r="A48" s="73" t="s">
        <v>129</v>
      </c>
      <c r="B48" s="74" t="s">
        <v>130</v>
      </c>
      <c r="C48" s="74" t="s">
        <v>44</v>
      </c>
      <c r="D48" s="75">
        <v>42735</v>
      </c>
      <c r="E48" s="74" t="s">
        <v>131</v>
      </c>
      <c r="F48" s="74" t="s">
        <v>132</v>
      </c>
      <c r="G48" s="76">
        <v>1</v>
      </c>
      <c r="H48" s="74" t="s">
        <v>133</v>
      </c>
      <c r="I48" s="76">
        <v>100</v>
      </c>
      <c r="J48" s="74" t="s">
        <v>49</v>
      </c>
      <c r="K48" s="74" t="s">
        <v>47</v>
      </c>
      <c r="L48" s="172">
        <v>105387</v>
      </c>
      <c r="M48" s="199" t="str">
        <f>VLOOKUP(L48,Table2[#All],2,TRUE)</f>
        <v>AreaB</v>
      </c>
      <c r="N48" s="76">
        <v>25</v>
      </c>
      <c r="O48" s="164" t="str">
        <f>VLOOKUP(N48,Table1[#All],2,TRUE)</f>
        <v>BedA</v>
      </c>
      <c r="P48" s="76">
        <v>1</v>
      </c>
      <c r="Q48" s="74" t="s">
        <v>50</v>
      </c>
      <c r="R48" s="74" t="s">
        <v>47</v>
      </c>
      <c r="S48" s="74" t="s">
        <v>47</v>
      </c>
      <c r="T48" s="76">
        <v>2781359.7</v>
      </c>
      <c r="U48" s="208">
        <v>84486.899999999907</v>
      </c>
      <c r="V48" s="74" t="s">
        <v>47</v>
      </c>
      <c r="W48" s="76">
        <v>2781360</v>
      </c>
      <c r="X48" s="76">
        <v>108155.48940000001</v>
      </c>
      <c r="Y48" s="208">
        <v>40708.960099999982</v>
      </c>
      <c r="Z48" s="74" t="s">
        <v>47</v>
      </c>
      <c r="AA48" s="76">
        <v>80</v>
      </c>
      <c r="AB48" s="76">
        <v>192.7</v>
      </c>
      <c r="AC48" s="76">
        <v>20305549.5</v>
      </c>
      <c r="AD48" s="200">
        <v>0.17673690271091239</v>
      </c>
      <c r="AE48" s="76">
        <v>20274194.800000001</v>
      </c>
      <c r="AF48" s="76">
        <v>195.3</v>
      </c>
      <c r="AG48" s="200">
        <v>0.15491129381220245</v>
      </c>
      <c r="AH48" s="74" t="s">
        <v>47</v>
      </c>
      <c r="AI48" s="74" t="s">
        <v>47</v>
      </c>
      <c r="AJ48" s="74" t="s">
        <v>47</v>
      </c>
      <c r="AK48" s="74" t="s">
        <v>47</v>
      </c>
      <c r="AL48" s="74" t="s">
        <v>47</v>
      </c>
      <c r="AM48" s="74" t="s">
        <v>47</v>
      </c>
      <c r="AN48" s="76">
        <v>0</v>
      </c>
      <c r="AO48" s="76">
        <v>0</v>
      </c>
      <c r="AP48" s="76">
        <v>0</v>
      </c>
      <c r="AQ48" s="76">
        <v>0</v>
      </c>
      <c r="AR48" s="76">
        <v>2153.3000000000002</v>
      </c>
      <c r="AS48" s="76">
        <v>574.5</v>
      </c>
      <c r="AT48" s="76">
        <v>1578.8</v>
      </c>
      <c r="AU48" s="76">
        <v>2153.3000000000002</v>
      </c>
      <c r="AV48" s="74" t="s">
        <v>91</v>
      </c>
      <c r="AW48" s="165" t="str">
        <f>VLOOKUP(AV48,Table3[#All],2,FALSE)</f>
        <v>Region5</v>
      </c>
      <c r="AX48" s="161" t="str">
        <f>IF(Key!$B$1&gt;0,CONCATENATE(O48,AW48),CONCATENATE(M48,AW48))</f>
        <v>AreaBRegion5</v>
      </c>
    </row>
    <row r="49" spans="1:50" s="115" customFormat="1" ht="29.5" thickBot="1">
      <c r="A49" s="114" t="s">
        <v>129</v>
      </c>
      <c r="B49" s="17" t="s">
        <v>130</v>
      </c>
      <c r="C49" s="17" t="s">
        <v>44</v>
      </c>
      <c r="D49" s="18">
        <v>42369</v>
      </c>
      <c r="E49" s="17" t="s">
        <v>131</v>
      </c>
      <c r="F49" s="17" t="s">
        <v>132</v>
      </c>
      <c r="G49" s="19">
        <v>1</v>
      </c>
      <c r="H49" s="17" t="s">
        <v>133</v>
      </c>
      <c r="I49" s="19">
        <v>100</v>
      </c>
      <c r="J49" s="17" t="s">
        <v>49</v>
      </c>
      <c r="K49" s="17" t="s">
        <v>47</v>
      </c>
      <c r="L49" s="187">
        <v>105387</v>
      </c>
      <c r="M49" s="199" t="str">
        <f>VLOOKUP(L49,Table2[#All],2,TRUE)</f>
        <v>AreaB</v>
      </c>
      <c r="N49" s="19">
        <v>25</v>
      </c>
      <c r="O49" s="164" t="str">
        <f>VLOOKUP(N49,Table1[#All],2,TRUE)</f>
        <v>BedA</v>
      </c>
      <c r="P49" s="19">
        <v>1</v>
      </c>
      <c r="Q49" s="17" t="s">
        <v>50</v>
      </c>
      <c r="R49" s="17" t="s">
        <v>47</v>
      </c>
      <c r="S49" s="17" t="s">
        <v>47</v>
      </c>
      <c r="T49" s="19">
        <v>2865846.6</v>
      </c>
      <c r="U49" s="209">
        <v>158576.69999999972</v>
      </c>
      <c r="V49" s="17" t="s">
        <v>47</v>
      </c>
      <c r="W49" s="19">
        <v>2865847</v>
      </c>
      <c r="X49" s="19">
        <v>148864.44949999999</v>
      </c>
      <c r="Y49" s="209">
        <v>42182.580000000016</v>
      </c>
      <c r="Z49" s="17" t="s">
        <v>47</v>
      </c>
      <c r="AA49" s="19">
        <v>52</v>
      </c>
      <c r="AB49" s="19">
        <v>234</v>
      </c>
      <c r="AC49" s="19">
        <v>24664714.800000001</v>
      </c>
      <c r="AD49" s="201">
        <v>0.16174945214688866</v>
      </c>
      <c r="AE49" s="19">
        <v>25115142.399999999</v>
      </c>
      <c r="AF49" s="19">
        <v>231.1</v>
      </c>
      <c r="AG49" s="201">
        <v>0.16146589259796815</v>
      </c>
      <c r="AH49" s="17" t="s">
        <v>47</v>
      </c>
      <c r="AI49" s="17" t="s">
        <v>47</v>
      </c>
      <c r="AJ49" s="17" t="s">
        <v>47</v>
      </c>
      <c r="AK49" s="17" t="s">
        <v>47</v>
      </c>
      <c r="AL49" s="17" t="s">
        <v>47</v>
      </c>
      <c r="AM49" s="17" t="s">
        <v>47</v>
      </c>
      <c r="AN49" s="19">
        <v>0</v>
      </c>
      <c r="AO49" s="19">
        <v>0</v>
      </c>
      <c r="AP49" s="19">
        <v>0</v>
      </c>
      <c r="AQ49" s="19">
        <v>0</v>
      </c>
      <c r="AR49" s="19">
        <v>2417.4</v>
      </c>
      <c r="AS49" s="19">
        <v>790.7</v>
      </c>
      <c r="AT49" s="19">
        <v>1626.8</v>
      </c>
      <c r="AU49" s="19">
        <v>2417.4</v>
      </c>
      <c r="AV49" s="17" t="s">
        <v>91</v>
      </c>
      <c r="AW49" s="165" t="str">
        <f>VLOOKUP(AV49,Table3[#All],2,FALSE)</f>
        <v>Region5</v>
      </c>
      <c r="AX49" s="161" t="str">
        <f>IF(Key!$B$1&gt;0,CONCATENATE(O49,AW49),CONCATENATE(M49,AW49))</f>
        <v>AreaBRegion5</v>
      </c>
    </row>
    <row r="50" spans="1:50" s="117" customFormat="1" ht="29">
      <c r="A50" s="82" t="s">
        <v>278</v>
      </c>
      <c r="B50" s="83" t="s">
        <v>279</v>
      </c>
      <c r="C50" s="83" t="s">
        <v>44</v>
      </c>
      <c r="D50" s="84">
        <v>43100</v>
      </c>
      <c r="E50" s="83" t="s">
        <v>155</v>
      </c>
      <c r="F50" s="83" t="s">
        <v>156</v>
      </c>
      <c r="G50" s="85">
        <v>1</v>
      </c>
      <c r="H50" s="83" t="s">
        <v>77</v>
      </c>
      <c r="I50" s="85">
        <v>100</v>
      </c>
      <c r="J50" s="83" t="s">
        <v>49</v>
      </c>
      <c r="K50" s="83" t="s">
        <v>47</v>
      </c>
      <c r="L50" s="174">
        <v>361204</v>
      </c>
      <c r="M50" s="199" t="str">
        <f>VLOOKUP(L50,Table2[#All],2,TRUE)</f>
        <v>AreaD</v>
      </c>
      <c r="N50" s="85">
        <v>166.9</v>
      </c>
      <c r="O50" s="164" t="str">
        <f>VLOOKUP(N50,Table1[#All],2,TRUE)</f>
        <v>BedB</v>
      </c>
      <c r="P50" s="85">
        <v>1.1599999999999999</v>
      </c>
      <c r="Q50" s="83" t="s">
        <v>50</v>
      </c>
      <c r="R50" s="83" t="s">
        <v>47</v>
      </c>
      <c r="S50" s="83" t="s">
        <v>47</v>
      </c>
      <c r="T50" s="85">
        <v>9743513.9000000004</v>
      </c>
      <c r="U50" s="208">
        <v>-455500.40000000037</v>
      </c>
      <c r="V50" s="83" t="s">
        <v>47</v>
      </c>
      <c r="W50" s="85">
        <v>9743515</v>
      </c>
      <c r="X50" s="85">
        <v>126313.2251</v>
      </c>
      <c r="Y50" s="208">
        <v>-12294.839800000002</v>
      </c>
      <c r="Z50" s="83" t="s">
        <v>47</v>
      </c>
      <c r="AA50" s="85">
        <v>100</v>
      </c>
      <c r="AB50" s="85">
        <v>127</v>
      </c>
      <c r="AC50" s="85">
        <v>45876195.899999999</v>
      </c>
      <c r="AD50" s="200">
        <v>-6.4597053441576152E-2</v>
      </c>
      <c r="AE50" s="85">
        <v>45898169.299999997</v>
      </c>
      <c r="AF50" s="85">
        <v>124.1</v>
      </c>
      <c r="AG50" s="200">
        <v>0.10397111913357404</v>
      </c>
      <c r="AH50" s="83" t="s">
        <v>47</v>
      </c>
      <c r="AI50" s="85">
        <v>26163.7</v>
      </c>
      <c r="AJ50" s="85">
        <v>693193.3</v>
      </c>
      <c r="AK50" s="85">
        <v>1.92</v>
      </c>
      <c r="AL50" s="85">
        <v>162841.09</v>
      </c>
      <c r="AM50" s="85">
        <v>0.45</v>
      </c>
      <c r="AN50" s="85">
        <v>0</v>
      </c>
      <c r="AO50" s="85">
        <v>0</v>
      </c>
      <c r="AP50" s="85">
        <v>0</v>
      </c>
      <c r="AQ50" s="85">
        <v>0</v>
      </c>
      <c r="AR50" s="85">
        <v>5152.5</v>
      </c>
      <c r="AS50" s="85">
        <v>670.9</v>
      </c>
      <c r="AT50" s="85">
        <v>4481.6000000000004</v>
      </c>
      <c r="AU50" s="85">
        <v>5152.5</v>
      </c>
      <c r="AV50" s="83" t="s">
        <v>57</v>
      </c>
      <c r="AW50" s="165" t="str">
        <f>VLOOKUP(AV50,Table3[#All],2,FALSE)</f>
        <v>Region7</v>
      </c>
      <c r="AX50" s="161" t="str">
        <f>IF(Key!$B$1&gt;0,CONCATENATE(O50,AW50),CONCATENATE(M50,AW50))</f>
        <v>AreaDRegion7</v>
      </c>
    </row>
    <row r="51" spans="1:50" s="115" customFormat="1" ht="29">
      <c r="A51" s="95" t="s">
        <v>278</v>
      </c>
      <c r="B51" s="32" t="s">
        <v>279</v>
      </c>
      <c r="C51" s="32" t="s">
        <v>44</v>
      </c>
      <c r="D51" s="33">
        <v>40908</v>
      </c>
      <c r="E51" s="32" t="s">
        <v>155</v>
      </c>
      <c r="F51" s="32" t="s">
        <v>156</v>
      </c>
      <c r="G51" s="34">
        <v>1</v>
      </c>
      <c r="H51" s="32" t="s">
        <v>77</v>
      </c>
      <c r="I51" s="34">
        <v>100</v>
      </c>
      <c r="J51" s="32" t="s">
        <v>49</v>
      </c>
      <c r="K51" s="32" t="s">
        <v>47</v>
      </c>
      <c r="L51" s="179">
        <v>241914</v>
      </c>
      <c r="M51" s="199" t="str">
        <f>VLOOKUP(L51,Table2[#All],2,TRUE)</f>
        <v>AreaC</v>
      </c>
      <c r="N51" s="34">
        <v>166.9</v>
      </c>
      <c r="O51" s="164" t="str">
        <f>VLOOKUP(N51,Table1[#All],2,TRUE)</f>
        <v>BedB</v>
      </c>
      <c r="P51" s="34">
        <v>0</v>
      </c>
      <c r="Q51" s="32" t="s">
        <v>50</v>
      </c>
      <c r="R51" s="32" t="s">
        <v>47</v>
      </c>
      <c r="S51" s="32" t="s">
        <v>47</v>
      </c>
      <c r="T51" s="34">
        <v>8004248.7999999998</v>
      </c>
      <c r="U51" s="209">
        <v>245847</v>
      </c>
      <c r="V51" s="32" t="s">
        <v>47</v>
      </c>
      <c r="W51" s="34">
        <v>8004250</v>
      </c>
      <c r="X51" s="34">
        <v>79970.003020000004</v>
      </c>
      <c r="Y51" s="209">
        <v>29129.995880000002</v>
      </c>
      <c r="Z51" s="32" t="s">
        <v>47</v>
      </c>
      <c r="AA51" s="34">
        <v>90</v>
      </c>
      <c r="AB51" s="34">
        <v>146</v>
      </c>
      <c r="AC51" s="34">
        <v>35307500.700000003</v>
      </c>
      <c r="AD51" s="201">
        <v>9.6054632047800223E-2</v>
      </c>
      <c r="AE51" s="34">
        <v>57786091.5</v>
      </c>
      <c r="AF51" s="34">
        <v>144.5</v>
      </c>
      <c r="AG51" s="201">
        <v>0.12899336949969864</v>
      </c>
      <c r="AH51" s="32" t="s">
        <v>47</v>
      </c>
      <c r="AI51" s="34">
        <v>24404</v>
      </c>
      <c r="AJ51" s="34">
        <v>690090.37</v>
      </c>
      <c r="AK51" s="34">
        <v>2.85</v>
      </c>
      <c r="AL51" s="34">
        <v>120182</v>
      </c>
      <c r="AM51" s="34">
        <v>0.5</v>
      </c>
      <c r="AN51" s="34">
        <v>0</v>
      </c>
      <c r="AO51" s="34">
        <v>0</v>
      </c>
      <c r="AP51" s="34">
        <v>0</v>
      </c>
      <c r="AQ51" s="34">
        <v>0</v>
      </c>
      <c r="AR51" s="34">
        <v>4106.3999999999996</v>
      </c>
      <c r="AS51" s="34">
        <v>424.8</v>
      </c>
      <c r="AT51" s="34">
        <v>3681.6</v>
      </c>
      <c r="AU51" s="34">
        <v>4106.3999999999996</v>
      </c>
      <c r="AV51" s="32" t="s">
        <v>57</v>
      </c>
      <c r="AW51" s="165" t="str">
        <f>VLOOKUP(AV51,Table3[#All],2,FALSE)</f>
        <v>Region7</v>
      </c>
      <c r="AX51" s="161" t="str">
        <f>IF(Key!$B$1&gt;0,CONCATENATE(O51,AW51),CONCATENATE(M51,AW51))</f>
        <v>AreaCRegion7</v>
      </c>
    </row>
    <row r="52" spans="1:50" s="115" customFormat="1" ht="30" customHeight="1" thickBot="1">
      <c r="A52" s="107" t="s">
        <v>278</v>
      </c>
      <c r="B52" s="29" t="s">
        <v>279</v>
      </c>
      <c r="C52" s="29" t="s">
        <v>44</v>
      </c>
      <c r="D52" s="30">
        <v>40543</v>
      </c>
      <c r="E52" s="29" t="s">
        <v>155</v>
      </c>
      <c r="F52" s="29" t="s">
        <v>156</v>
      </c>
      <c r="G52" s="31">
        <v>1</v>
      </c>
      <c r="H52" s="29" t="s">
        <v>77</v>
      </c>
      <c r="I52" s="31">
        <v>100</v>
      </c>
      <c r="J52" s="29" t="s">
        <v>49</v>
      </c>
      <c r="K52" s="29" t="s">
        <v>47</v>
      </c>
      <c r="L52" s="183">
        <v>235892.6</v>
      </c>
      <c r="M52" s="199" t="str">
        <f>VLOOKUP(L52,Table2[#All],2,TRUE)</f>
        <v>AreaC</v>
      </c>
      <c r="N52" s="31">
        <v>166.9</v>
      </c>
      <c r="O52" s="164" t="str">
        <f>VLOOKUP(N52,Table1[#All],2,TRUE)</f>
        <v>BedB</v>
      </c>
      <c r="P52" s="31">
        <v>0</v>
      </c>
      <c r="Q52" s="29" t="s">
        <v>50</v>
      </c>
      <c r="R52" s="29" t="s">
        <v>47</v>
      </c>
      <c r="S52" s="29" t="s">
        <v>47</v>
      </c>
      <c r="T52" s="31">
        <v>8250095.7999999998</v>
      </c>
      <c r="U52" s="209">
        <v>-146501</v>
      </c>
      <c r="V52" s="29" t="s">
        <v>47</v>
      </c>
      <c r="W52" s="31">
        <v>8250097</v>
      </c>
      <c r="X52" s="31">
        <v>109099.99890000001</v>
      </c>
      <c r="Y52" s="209">
        <v>31830.003499999992</v>
      </c>
      <c r="Z52" s="29" t="s">
        <v>47</v>
      </c>
      <c r="AA52" s="31">
        <v>77</v>
      </c>
      <c r="AB52" s="31">
        <v>165.6</v>
      </c>
      <c r="AC52" s="31">
        <v>39059330.299999997</v>
      </c>
      <c r="AD52" s="201">
        <v>6.4278389953406997E-2</v>
      </c>
      <c r="AE52" s="31">
        <v>66548622.899999999</v>
      </c>
      <c r="AF52" s="31">
        <v>165.9</v>
      </c>
      <c r="AG52" s="201">
        <v>9.0460526315789477E-2</v>
      </c>
      <c r="AH52" s="29" t="s">
        <v>47</v>
      </c>
      <c r="AI52" s="31">
        <v>18226</v>
      </c>
      <c r="AJ52" s="31">
        <v>779058.39</v>
      </c>
      <c r="AK52" s="31">
        <v>3.3</v>
      </c>
      <c r="AL52" s="31">
        <v>105778</v>
      </c>
      <c r="AM52" s="31">
        <v>0.45</v>
      </c>
      <c r="AN52" s="31">
        <v>0</v>
      </c>
      <c r="AO52" s="31">
        <v>0</v>
      </c>
      <c r="AP52" s="31">
        <v>0</v>
      </c>
      <c r="AQ52" s="31">
        <v>0</v>
      </c>
      <c r="AR52" s="31">
        <v>4374.2</v>
      </c>
      <c r="AS52" s="31">
        <v>579.5</v>
      </c>
      <c r="AT52" s="31">
        <v>3794.7</v>
      </c>
      <c r="AU52" s="31">
        <v>4374.2</v>
      </c>
      <c r="AV52" s="29" t="s">
        <v>57</v>
      </c>
      <c r="AW52" s="165" t="str">
        <f>VLOOKUP(AV52,Table3[#All],2,FALSE)</f>
        <v>Region7</v>
      </c>
      <c r="AX52" s="161" t="str">
        <f>IF(Key!$B$1&gt;0,CONCATENATE(O52,AW52),CONCATENATE(M52,AW52))</f>
        <v>AreaCRegion7</v>
      </c>
    </row>
    <row r="53" spans="1:50" s="118" customFormat="1" ht="47.15" customHeight="1">
      <c r="A53" s="96" t="s">
        <v>190</v>
      </c>
      <c r="B53" s="97" t="s">
        <v>191</v>
      </c>
      <c r="C53" s="97" t="s">
        <v>192</v>
      </c>
      <c r="D53" s="98">
        <v>42004</v>
      </c>
      <c r="E53" s="97" t="s">
        <v>149</v>
      </c>
      <c r="F53" s="97" t="s">
        <v>157</v>
      </c>
      <c r="G53" s="99">
        <v>1</v>
      </c>
      <c r="H53" s="97" t="s">
        <v>193</v>
      </c>
      <c r="I53" s="99">
        <v>100</v>
      </c>
      <c r="J53" s="97" t="s">
        <v>49</v>
      </c>
      <c r="K53" s="97" t="s">
        <v>49</v>
      </c>
      <c r="L53" s="180">
        <v>165383</v>
      </c>
      <c r="M53" s="199" t="str">
        <f>VLOOKUP(L53,Table2[#All],2,TRUE)</f>
        <v>AreaC</v>
      </c>
      <c r="N53" s="99">
        <v>114.1</v>
      </c>
      <c r="O53" s="164" t="str">
        <f>VLOOKUP(N53,Table1[#All],2,TRUE)</f>
        <v>BedB</v>
      </c>
      <c r="P53" s="99">
        <v>0</v>
      </c>
      <c r="Q53" s="97" t="s">
        <v>50</v>
      </c>
      <c r="R53" s="97" t="s">
        <v>47</v>
      </c>
      <c r="S53" s="97" t="s">
        <v>47</v>
      </c>
      <c r="T53" s="99">
        <v>3929731.3</v>
      </c>
      <c r="U53" s="208">
        <v>471412.40000000037</v>
      </c>
      <c r="V53" s="97" t="s">
        <v>47</v>
      </c>
      <c r="W53" s="99">
        <v>3929732</v>
      </c>
      <c r="X53" s="97" t="s">
        <v>47</v>
      </c>
      <c r="Y53" s="208" t="e">
        <v>#VALUE!</v>
      </c>
      <c r="Z53" s="97" t="s">
        <v>47</v>
      </c>
      <c r="AA53" s="99">
        <v>94</v>
      </c>
      <c r="AB53" s="99">
        <v>134.1</v>
      </c>
      <c r="AC53" s="99">
        <v>22182051.5</v>
      </c>
      <c r="AD53" s="200">
        <v>0.18140477242788133</v>
      </c>
      <c r="AE53" s="99">
        <v>22705682.399999999</v>
      </c>
      <c r="AF53" s="99">
        <v>135.4</v>
      </c>
      <c r="AG53" s="200">
        <v>0.17839805825242722</v>
      </c>
      <c r="AH53" s="97" t="s">
        <v>47</v>
      </c>
      <c r="AI53" s="99">
        <v>9001.7999999999993</v>
      </c>
      <c r="AJ53" s="99">
        <v>343727.25</v>
      </c>
      <c r="AK53" s="99">
        <v>2.08</v>
      </c>
      <c r="AL53" s="99">
        <v>75808.160000000003</v>
      </c>
      <c r="AM53" s="99">
        <v>0.46</v>
      </c>
      <c r="AN53" s="99">
        <v>0</v>
      </c>
      <c r="AO53" s="99">
        <v>0</v>
      </c>
      <c r="AP53" s="99">
        <v>0</v>
      </c>
      <c r="AQ53" s="99">
        <v>0</v>
      </c>
      <c r="AR53" s="99">
        <v>2390.1</v>
      </c>
      <c r="AS53" s="99">
        <v>0</v>
      </c>
      <c r="AT53" s="99">
        <v>2390.1</v>
      </c>
      <c r="AU53" s="99">
        <v>2390.1</v>
      </c>
      <c r="AV53" s="97" t="s">
        <v>57</v>
      </c>
      <c r="AW53" s="165" t="str">
        <f>VLOOKUP(AV53,Table3[#All],2,FALSE)</f>
        <v>Region7</v>
      </c>
      <c r="AX53" s="161" t="str">
        <f>IF(Key!$B$1&gt;0,CONCATENATE(O53,AW53),CONCATENATE(M53,AW53))</f>
        <v>AreaCRegion7</v>
      </c>
    </row>
    <row r="54" spans="1:50" s="119" customFormat="1" ht="43.5">
      <c r="A54" s="95" t="s">
        <v>190</v>
      </c>
      <c r="B54" s="32" t="s">
        <v>191</v>
      </c>
      <c r="C54" s="32" t="s">
        <v>192</v>
      </c>
      <c r="D54" s="33">
        <v>40908</v>
      </c>
      <c r="E54" s="32" t="s">
        <v>149</v>
      </c>
      <c r="F54" s="32" t="s">
        <v>157</v>
      </c>
      <c r="G54" s="34">
        <v>1</v>
      </c>
      <c r="H54" s="32" t="s">
        <v>193</v>
      </c>
      <c r="I54" s="34">
        <v>100</v>
      </c>
      <c r="J54" s="32" t="s">
        <v>49</v>
      </c>
      <c r="K54" s="32" t="s">
        <v>49</v>
      </c>
      <c r="L54" s="179">
        <v>165383</v>
      </c>
      <c r="M54" s="199" t="str">
        <f>VLOOKUP(L54,Table2[#All],2,TRUE)</f>
        <v>AreaC</v>
      </c>
      <c r="N54" s="34">
        <v>114.1</v>
      </c>
      <c r="O54" s="164" t="str">
        <f>VLOOKUP(N54,Table1[#All],2,TRUE)</f>
        <v>BedB</v>
      </c>
      <c r="P54" s="34">
        <v>0</v>
      </c>
      <c r="Q54" s="32" t="s">
        <v>50</v>
      </c>
      <c r="R54" s="32" t="s">
        <v>47</v>
      </c>
      <c r="S54" s="32" t="s">
        <v>47</v>
      </c>
      <c r="T54" s="34">
        <v>5275934.3</v>
      </c>
      <c r="U54" s="209">
        <v>471179.79999999981</v>
      </c>
      <c r="V54" s="32" t="s">
        <v>47</v>
      </c>
      <c r="W54" s="34">
        <v>5275935</v>
      </c>
      <c r="X54" s="34">
        <v>1522.9999823000001</v>
      </c>
      <c r="Y54" s="209">
        <v>933.99998669999991</v>
      </c>
      <c r="Z54" s="32" t="s">
        <v>47</v>
      </c>
      <c r="AA54" s="34">
        <v>36</v>
      </c>
      <c r="AB54" s="34">
        <v>218.4</v>
      </c>
      <c r="AC54" s="34">
        <v>36121790.5</v>
      </c>
      <c r="AD54" s="201">
        <v>6.7941541600551658E-2</v>
      </c>
      <c r="AE54" s="34">
        <v>35646551</v>
      </c>
      <c r="AF54" s="34">
        <v>216.7</v>
      </c>
      <c r="AG54" s="201">
        <v>7.9048023799405107E-2</v>
      </c>
      <c r="AH54" s="32" t="s">
        <v>47</v>
      </c>
      <c r="AI54" s="34">
        <v>14995</v>
      </c>
      <c r="AJ54" s="34">
        <v>528633.44999999995</v>
      </c>
      <c r="AK54" s="34">
        <v>3.2</v>
      </c>
      <c r="AL54" s="34">
        <v>121150</v>
      </c>
      <c r="AM54" s="34">
        <v>0.73</v>
      </c>
      <c r="AN54" s="34">
        <v>0</v>
      </c>
      <c r="AO54" s="34">
        <v>0</v>
      </c>
      <c r="AP54" s="34">
        <v>0</v>
      </c>
      <c r="AQ54" s="34">
        <v>0</v>
      </c>
      <c r="AR54" s="34">
        <v>3627.8</v>
      </c>
      <c r="AS54" s="34">
        <v>8.1</v>
      </c>
      <c r="AT54" s="34">
        <v>3619.8</v>
      </c>
      <c r="AU54" s="34">
        <v>3627.8</v>
      </c>
      <c r="AV54" s="32" t="s">
        <v>57</v>
      </c>
      <c r="AW54" s="165" t="str">
        <f>VLOOKUP(AV54,Table3[#All],2,FALSE)</f>
        <v>Region7</v>
      </c>
      <c r="AX54" s="161" t="str">
        <f>IF(Key!$B$1&gt;0,CONCATENATE(O54,AW54),CONCATENATE(M54,AW54))</f>
        <v>AreaCRegion7</v>
      </c>
    </row>
    <row r="55" spans="1:50" s="119" customFormat="1" ht="44" thickBot="1">
      <c r="A55" s="107" t="s">
        <v>190</v>
      </c>
      <c r="B55" s="29" t="s">
        <v>191</v>
      </c>
      <c r="C55" s="29" t="s">
        <v>192</v>
      </c>
      <c r="D55" s="30">
        <v>40543</v>
      </c>
      <c r="E55" s="29" t="s">
        <v>149</v>
      </c>
      <c r="F55" s="29" t="s">
        <v>157</v>
      </c>
      <c r="G55" s="31">
        <v>1</v>
      </c>
      <c r="H55" s="29" t="s">
        <v>193</v>
      </c>
      <c r="I55" s="31">
        <v>100</v>
      </c>
      <c r="J55" s="29" t="s">
        <v>49</v>
      </c>
      <c r="K55" s="29" t="s">
        <v>49</v>
      </c>
      <c r="L55" s="183">
        <v>165383</v>
      </c>
      <c r="M55" s="199" t="str">
        <f>VLOOKUP(L55,Table2[#All],2,TRUE)</f>
        <v>AreaC</v>
      </c>
      <c r="N55" s="31">
        <v>114.1</v>
      </c>
      <c r="O55" s="164" t="str">
        <f>VLOOKUP(N55,Table1[#All],2,TRUE)</f>
        <v>BedB</v>
      </c>
      <c r="P55" s="31">
        <v>0</v>
      </c>
      <c r="Q55" s="29" t="s">
        <v>50</v>
      </c>
      <c r="R55" s="29" t="s">
        <v>47</v>
      </c>
      <c r="S55" s="29" t="s">
        <v>47</v>
      </c>
      <c r="T55" s="31">
        <v>5747114.0999999996</v>
      </c>
      <c r="U55" s="209">
        <v>282766.80000000075</v>
      </c>
      <c r="V55" s="29" t="s">
        <v>47</v>
      </c>
      <c r="W55" s="31">
        <v>5747115</v>
      </c>
      <c r="X55" s="31">
        <v>2456.999969</v>
      </c>
      <c r="Y55" s="209">
        <v>382.99987899999996</v>
      </c>
      <c r="Z55" s="29" t="s">
        <v>47</v>
      </c>
      <c r="AA55" s="31">
        <v>19</v>
      </c>
      <c r="AB55" s="31">
        <v>234.3</v>
      </c>
      <c r="AC55" s="31">
        <v>38754855.100000001</v>
      </c>
      <c r="AD55" s="201">
        <v>9.0794247601790418E-2</v>
      </c>
      <c r="AE55" s="31">
        <v>38988932.399999999</v>
      </c>
      <c r="AF55" s="31">
        <v>235.3</v>
      </c>
      <c r="AG55" s="201">
        <v>8.5858585858585731E-2</v>
      </c>
      <c r="AH55" s="29" t="s">
        <v>47</v>
      </c>
      <c r="AI55" s="31">
        <v>13696</v>
      </c>
      <c r="AJ55" s="31">
        <v>635645.25</v>
      </c>
      <c r="AK55" s="31">
        <v>3.84</v>
      </c>
      <c r="AL55" s="31">
        <v>87505</v>
      </c>
      <c r="AM55" s="31">
        <v>0.53</v>
      </c>
      <c r="AN55" s="31">
        <v>0</v>
      </c>
      <c r="AO55" s="31">
        <v>0</v>
      </c>
      <c r="AP55" s="31">
        <v>0</v>
      </c>
      <c r="AQ55" s="31">
        <v>0</v>
      </c>
      <c r="AR55" s="31">
        <v>3911.4</v>
      </c>
      <c r="AS55" s="31">
        <v>13.1</v>
      </c>
      <c r="AT55" s="31">
        <v>3898.4</v>
      </c>
      <c r="AU55" s="31">
        <v>3911.4</v>
      </c>
      <c r="AV55" s="29" t="s">
        <v>57</v>
      </c>
      <c r="AW55" s="165" t="str">
        <f>VLOOKUP(AV55,Table3[#All],2,FALSE)</f>
        <v>Region7</v>
      </c>
      <c r="AX55" s="161" t="str">
        <f>IF(Key!$B$1&gt;0,CONCATENATE(O55,AW55),CONCATENATE(M55,AW55))</f>
        <v>AreaCRegion7</v>
      </c>
    </row>
    <row r="56" spans="1:50" s="118" customFormat="1" ht="29">
      <c r="A56" s="96" t="s">
        <v>187</v>
      </c>
      <c r="B56" s="97" t="s">
        <v>188</v>
      </c>
      <c r="C56" s="97" t="s">
        <v>44</v>
      </c>
      <c r="D56" s="98">
        <v>42004</v>
      </c>
      <c r="E56" s="97" t="s">
        <v>149</v>
      </c>
      <c r="F56" s="97" t="s">
        <v>189</v>
      </c>
      <c r="G56" s="99">
        <v>1</v>
      </c>
      <c r="H56" s="97" t="s">
        <v>70</v>
      </c>
      <c r="I56" s="99">
        <v>100</v>
      </c>
      <c r="J56" s="97" t="s">
        <v>49</v>
      </c>
      <c r="K56" s="97" t="s">
        <v>47</v>
      </c>
      <c r="L56" s="180">
        <v>520885</v>
      </c>
      <c r="M56" s="199" t="str">
        <f>VLOOKUP(L56,Table2[#All],2,TRUE)</f>
        <v>AreaE</v>
      </c>
      <c r="N56" s="99">
        <v>272</v>
      </c>
      <c r="O56" s="164" t="str">
        <f>VLOOKUP(N56,Table1[#All],2,TRUE)</f>
        <v>BedB</v>
      </c>
      <c r="P56" s="99">
        <v>1</v>
      </c>
      <c r="Q56" s="97" t="s">
        <v>50</v>
      </c>
      <c r="R56" s="97" t="s">
        <v>47</v>
      </c>
      <c r="S56" s="97" t="s">
        <v>47</v>
      </c>
      <c r="T56" s="99">
        <v>14898637.699999999</v>
      </c>
      <c r="U56" s="208">
        <v>1165871.9000000004</v>
      </c>
      <c r="V56" s="97" t="s">
        <v>47</v>
      </c>
      <c r="W56" s="99">
        <v>14898640</v>
      </c>
      <c r="X56" s="99">
        <v>324224.19699999999</v>
      </c>
      <c r="Y56" s="208">
        <v>140466.73000000004</v>
      </c>
      <c r="Z56" s="97" t="s">
        <v>47</v>
      </c>
      <c r="AA56" s="99">
        <v>93</v>
      </c>
      <c r="AB56" s="99">
        <v>159.80000000000001</v>
      </c>
      <c r="AC56" s="99">
        <v>83256577.799999997</v>
      </c>
      <c r="AD56" s="200">
        <v>0.17796616957941222</v>
      </c>
      <c r="AE56" s="99">
        <v>92131069.099999994</v>
      </c>
      <c r="AF56" s="99">
        <v>160.4</v>
      </c>
      <c r="AG56" s="200">
        <v>0.17447246525990737</v>
      </c>
      <c r="AH56" s="97" t="s">
        <v>47</v>
      </c>
      <c r="AI56" s="99">
        <v>34180.5</v>
      </c>
      <c r="AJ56" s="99">
        <v>1292843.6100000001</v>
      </c>
      <c r="AK56" s="99">
        <v>2.48</v>
      </c>
      <c r="AL56" s="99">
        <v>296939.13</v>
      </c>
      <c r="AM56" s="99">
        <v>0.56999999999999995</v>
      </c>
      <c r="AN56" s="99">
        <v>0</v>
      </c>
      <c r="AO56" s="99">
        <v>0</v>
      </c>
      <c r="AP56" s="99">
        <v>0</v>
      </c>
      <c r="AQ56" s="99">
        <v>0</v>
      </c>
      <c r="AR56" s="99">
        <v>8574.9</v>
      </c>
      <c r="AS56" s="99">
        <v>1722.1</v>
      </c>
      <c r="AT56" s="99">
        <v>6852.7</v>
      </c>
      <c r="AU56" s="99">
        <v>8574.9</v>
      </c>
      <c r="AV56" s="97" t="s">
        <v>57</v>
      </c>
      <c r="AW56" s="165" t="str">
        <f>VLOOKUP(AV56,Table3[#All],2,FALSE)</f>
        <v>Region7</v>
      </c>
      <c r="AX56" s="161" t="str">
        <f>IF(Key!$B$1&gt;0,CONCATENATE(O56,AW56),CONCATENATE(M56,AW56))</f>
        <v>AreaERegion7</v>
      </c>
    </row>
    <row r="57" spans="1:50" s="119" customFormat="1" ht="29.5" thickBot="1">
      <c r="A57" s="107" t="s">
        <v>187</v>
      </c>
      <c r="B57" s="29" t="s">
        <v>188</v>
      </c>
      <c r="C57" s="29" t="s">
        <v>44</v>
      </c>
      <c r="D57" s="30">
        <v>40543</v>
      </c>
      <c r="E57" s="29" t="s">
        <v>149</v>
      </c>
      <c r="F57" s="29" t="s">
        <v>189</v>
      </c>
      <c r="G57" s="31">
        <v>1</v>
      </c>
      <c r="H57" s="29" t="s">
        <v>70</v>
      </c>
      <c r="I57" s="31">
        <v>100</v>
      </c>
      <c r="J57" s="29" t="s">
        <v>49</v>
      </c>
      <c r="K57" s="29" t="s">
        <v>47</v>
      </c>
      <c r="L57" s="183">
        <v>520885</v>
      </c>
      <c r="M57" s="199" t="str">
        <f>VLOOKUP(L57,Table2[#All],2,TRUE)</f>
        <v>AreaE</v>
      </c>
      <c r="N57" s="31">
        <v>272</v>
      </c>
      <c r="O57" s="164" t="str">
        <f>VLOOKUP(N57,Table1[#All],2,TRUE)</f>
        <v>BedB</v>
      </c>
      <c r="P57" s="31">
        <v>1</v>
      </c>
      <c r="Q57" s="29" t="s">
        <v>50</v>
      </c>
      <c r="R57" s="29" t="s">
        <v>47</v>
      </c>
      <c r="S57" s="29" t="s">
        <v>47</v>
      </c>
      <c r="T57" s="31">
        <v>16395483.4</v>
      </c>
      <c r="U57" s="209">
        <v>806524.90000000037</v>
      </c>
      <c r="V57" s="29" t="s">
        <v>47</v>
      </c>
      <c r="W57" s="31">
        <v>16395490</v>
      </c>
      <c r="X57" s="31">
        <v>517840.03100000002</v>
      </c>
      <c r="Y57" s="209">
        <v>91428.963999999978</v>
      </c>
      <c r="Z57" s="29" t="s">
        <v>47</v>
      </c>
      <c r="AA57" s="31">
        <v>78</v>
      </c>
      <c r="AB57" s="31">
        <v>206.8</v>
      </c>
      <c r="AC57" s="31">
        <v>107725399.2</v>
      </c>
      <c r="AD57" s="201">
        <v>9.9437752042645072E-2</v>
      </c>
      <c r="AE57" s="31">
        <v>113721617.5</v>
      </c>
      <c r="AF57" s="31">
        <v>206.8</v>
      </c>
      <c r="AG57" s="201">
        <v>9.8124727431312689E-2</v>
      </c>
      <c r="AH57" s="29" t="s">
        <v>47</v>
      </c>
      <c r="AI57" s="31">
        <v>32172</v>
      </c>
      <c r="AJ57" s="31">
        <v>1722703.12</v>
      </c>
      <c r="AK57" s="31">
        <v>3.31</v>
      </c>
      <c r="AL57" s="31">
        <v>212372.01</v>
      </c>
      <c r="AM57" s="31">
        <v>0.41</v>
      </c>
      <c r="AN57" s="31">
        <v>0</v>
      </c>
      <c r="AO57" s="31">
        <v>0</v>
      </c>
      <c r="AP57" s="31">
        <v>0</v>
      </c>
      <c r="AQ57" s="31">
        <v>0</v>
      </c>
      <c r="AR57" s="31">
        <v>10291.700000000001</v>
      </c>
      <c r="AS57" s="31">
        <v>2750.5</v>
      </c>
      <c r="AT57" s="31">
        <v>7541.2</v>
      </c>
      <c r="AU57" s="31">
        <v>10291.700000000001</v>
      </c>
      <c r="AV57" s="29" t="s">
        <v>57</v>
      </c>
      <c r="AW57" s="165" t="str">
        <f>VLOOKUP(AV57,Table3[#All],2,FALSE)</f>
        <v>Region7</v>
      </c>
      <c r="AX57" s="161" t="str">
        <f>IF(Key!$B$1&gt;0,CONCATENATE(O57,AW57),CONCATENATE(M57,AW57))</f>
        <v>AreaERegion7</v>
      </c>
    </row>
    <row r="58" spans="1:50" s="118" customFormat="1" ht="29">
      <c r="A58" s="108" t="s">
        <v>280</v>
      </c>
      <c r="B58" s="109" t="s">
        <v>281</v>
      </c>
      <c r="C58" s="109" t="s">
        <v>44</v>
      </c>
      <c r="D58" s="110">
        <v>40908</v>
      </c>
      <c r="E58" s="109" t="s">
        <v>195</v>
      </c>
      <c r="F58" s="109" t="s">
        <v>196</v>
      </c>
      <c r="G58" s="111">
        <v>1</v>
      </c>
      <c r="H58" s="109" t="s">
        <v>197</v>
      </c>
      <c r="I58" s="111">
        <v>100</v>
      </c>
      <c r="J58" s="109" t="s">
        <v>49</v>
      </c>
      <c r="K58" s="109" t="s">
        <v>47</v>
      </c>
      <c r="L58" s="184">
        <v>397201</v>
      </c>
      <c r="M58" s="199" t="str">
        <f>VLOOKUP(L58,Table2[#All],2,TRUE)</f>
        <v>AreaD</v>
      </c>
      <c r="N58" s="111">
        <v>274.10000000000002</v>
      </c>
      <c r="O58" s="164" t="str">
        <f>VLOOKUP(N58,Table1[#All],2,TRUE)</f>
        <v>BedB</v>
      </c>
      <c r="P58" s="111">
        <v>1</v>
      </c>
      <c r="Q58" s="109" t="s">
        <v>50</v>
      </c>
      <c r="R58" s="109" t="s">
        <v>47</v>
      </c>
      <c r="S58" s="109" t="s">
        <v>47</v>
      </c>
      <c r="T58" s="111">
        <v>13219336.800000001</v>
      </c>
      <c r="U58" s="208">
        <v>567980.89999999851</v>
      </c>
      <c r="V58" s="109" t="s">
        <v>47</v>
      </c>
      <c r="W58" s="111">
        <v>13219340</v>
      </c>
      <c r="X58" s="111">
        <v>132630.0012</v>
      </c>
      <c r="Y58" s="208">
        <v>48069.999199999991</v>
      </c>
      <c r="Z58" s="109" t="s">
        <v>47</v>
      </c>
      <c r="AA58" s="111">
        <v>94</v>
      </c>
      <c r="AB58" s="111">
        <v>146.9</v>
      </c>
      <c r="AC58" s="111">
        <v>58367382.600000001</v>
      </c>
      <c r="AD58" s="200">
        <v>0.10358945542818181</v>
      </c>
      <c r="AE58" s="111">
        <v>61699511.200000003</v>
      </c>
      <c r="AF58" s="111">
        <v>146.30000000000001</v>
      </c>
      <c r="AG58" s="200">
        <v>0.11225728155339805</v>
      </c>
      <c r="AH58" s="109" t="s">
        <v>47</v>
      </c>
      <c r="AI58" s="111">
        <v>17617.599999999999</v>
      </c>
      <c r="AJ58" s="111">
        <v>1150807.04</v>
      </c>
      <c r="AK58" s="111">
        <v>2.9</v>
      </c>
      <c r="AL58" s="111">
        <v>157439.25</v>
      </c>
      <c r="AM58" s="111">
        <v>0.4</v>
      </c>
      <c r="AN58" s="111">
        <v>0</v>
      </c>
      <c r="AO58" s="111">
        <v>0</v>
      </c>
      <c r="AP58" s="111">
        <v>0</v>
      </c>
      <c r="AQ58" s="111">
        <v>0</v>
      </c>
      <c r="AR58" s="111">
        <v>5754</v>
      </c>
      <c r="AS58" s="111">
        <v>704.5</v>
      </c>
      <c r="AT58" s="111">
        <v>5049.5</v>
      </c>
      <c r="AU58" s="111">
        <v>5754</v>
      </c>
      <c r="AV58" s="109" t="s">
        <v>57</v>
      </c>
      <c r="AW58" s="165" t="str">
        <f>VLOOKUP(AV58,Table3[#All],2,FALSE)</f>
        <v>Region7</v>
      </c>
      <c r="AX58" s="161" t="str">
        <f>IF(Key!$B$1&gt;0,CONCATENATE(O58,AW58),CONCATENATE(M58,AW58))</f>
        <v>AreaDRegion7</v>
      </c>
    </row>
    <row r="59" spans="1:50" s="119" customFormat="1" ht="29.5" thickBot="1">
      <c r="A59" s="107" t="s">
        <v>280</v>
      </c>
      <c r="B59" s="29" t="s">
        <v>281</v>
      </c>
      <c r="C59" s="29" t="s">
        <v>44</v>
      </c>
      <c r="D59" s="30">
        <v>40543</v>
      </c>
      <c r="E59" s="29" t="s">
        <v>195</v>
      </c>
      <c r="F59" s="29" t="s">
        <v>196</v>
      </c>
      <c r="G59" s="31">
        <v>1</v>
      </c>
      <c r="H59" s="29" t="s">
        <v>197</v>
      </c>
      <c r="I59" s="31">
        <v>100</v>
      </c>
      <c r="J59" s="29" t="s">
        <v>49</v>
      </c>
      <c r="K59" s="29" t="s">
        <v>47</v>
      </c>
      <c r="L59" s="183">
        <v>397201</v>
      </c>
      <c r="M59" s="199" t="str">
        <f>VLOOKUP(L59,Table2[#All],2,TRUE)</f>
        <v>AreaD</v>
      </c>
      <c r="N59" s="31">
        <v>274.10000000000002</v>
      </c>
      <c r="O59" s="164" t="str">
        <f>VLOOKUP(N59,Table1[#All],2,TRUE)</f>
        <v>BedB</v>
      </c>
      <c r="P59" s="31">
        <v>1</v>
      </c>
      <c r="Q59" s="29" t="s">
        <v>50</v>
      </c>
      <c r="R59" s="29" t="s">
        <v>47</v>
      </c>
      <c r="S59" s="29" t="s">
        <v>47</v>
      </c>
      <c r="T59" s="31">
        <v>13787317.699999999</v>
      </c>
      <c r="U59" s="209">
        <v>1219729.4000000004</v>
      </c>
      <c r="V59" s="29" t="s">
        <v>47</v>
      </c>
      <c r="W59" s="31">
        <v>13787320</v>
      </c>
      <c r="X59" s="31">
        <v>180700.00039999999</v>
      </c>
      <c r="Y59" s="209">
        <v>192069.97040000002</v>
      </c>
      <c r="Z59" s="29" t="s">
        <v>47</v>
      </c>
      <c r="AA59" s="31">
        <v>86</v>
      </c>
      <c r="AB59" s="31">
        <v>163.9</v>
      </c>
      <c r="AC59" s="31">
        <v>65112333.799999997</v>
      </c>
      <c r="AD59" s="201">
        <v>0.26410982526349586</v>
      </c>
      <c r="AE59" s="31">
        <v>70001235.299999997</v>
      </c>
      <c r="AF59" s="31">
        <v>164.8</v>
      </c>
      <c r="AG59" s="201">
        <v>0.25965858041329731</v>
      </c>
      <c r="AH59" s="29" t="s">
        <v>47</v>
      </c>
      <c r="AI59" s="31">
        <v>14767.9</v>
      </c>
      <c r="AJ59" s="31">
        <v>1323710.99</v>
      </c>
      <c r="AK59" s="31">
        <v>3.33</v>
      </c>
      <c r="AL59" s="31">
        <v>64238.97</v>
      </c>
      <c r="AM59" s="31">
        <v>0.16</v>
      </c>
      <c r="AN59" s="31">
        <v>0</v>
      </c>
      <c r="AO59" s="31">
        <v>0</v>
      </c>
      <c r="AP59" s="31">
        <v>0</v>
      </c>
      <c r="AQ59" s="31">
        <v>0</v>
      </c>
      <c r="AR59" s="31">
        <v>6226.2</v>
      </c>
      <c r="AS59" s="31">
        <v>959.8</v>
      </c>
      <c r="AT59" s="31">
        <v>5266.5</v>
      </c>
      <c r="AU59" s="31">
        <v>6226.2</v>
      </c>
      <c r="AV59" s="29" t="s">
        <v>57</v>
      </c>
      <c r="AW59" s="165" t="str">
        <f>VLOOKUP(AV59,Table3[#All],2,FALSE)</f>
        <v>Region7</v>
      </c>
      <c r="AX59" s="161" t="str">
        <f>IF(Key!$B$1&gt;0,CONCATENATE(O59,AW59),CONCATENATE(M59,AW59))</f>
        <v>AreaDRegion7</v>
      </c>
    </row>
    <row r="60" spans="1:50" s="118" customFormat="1" ht="29">
      <c r="A60" s="73" t="s">
        <v>86</v>
      </c>
      <c r="B60" s="74" t="s">
        <v>87</v>
      </c>
      <c r="C60" s="74" t="s">
        <v>44</v>
      </c>
      <c r="D60" s="75">
        <v>42735</v>
      </c>
      <c r="E60" s="74" t="s">
        <v>88</v>
      </c>
      <c r="F60" s="74" t="s">
        <v>89</v>
      </c>
      <c r="G60" s="76">
        <v>1</v>
      </c>
      <c r="H60" s="74" t="s">
        <v>77</v>
      </c>
      <c r="I60" s="76">
        <v>100</v>
      </c>
      <c r="J60" s="74" t="s">
        <v>49</v>
      </c>
      <c r="K60" s="74" t="s">
        <v>47</v>
      </c>
      <c r="L60" s="172">
        <v>472711</v>
      </c>
      <c r="M60" s="199" t="str">
        <f>VLOOKUP(L60,Table2[#All],2,TRUE)</f>
        <v>AreaD</v>
      </c>
      <c r="N60" s="76">
        <v>215.4</v>
      </c>
      <c r="O60" s="164" t="str">
        <f>VLOOKUP(N60,Table1[#All],2,TRUE)</f>
        <v>BedB</v>
      </c>
      <c r="P60" s="76">
        <v>2</v>
      </c>
      <c r="Q60" s="74" t="s">
        <v>50</v>
      </c>
      <c r="R60" s="74" t="s">
        <v>47</v>
      </c>
      <c r="S60" s="74" t="s">
        <v>47</v>
      </c>
      <c r="T60" s="76">
        <v>14913258.4</v>
      </c>
      <c r="U60" s="208">
        <v>-3337157.4000000004</v>
      </c>
      <c r="V60" s="74" t="s">
        <v>47</v>
      </c>
      <c r="W60" s="76">
        <v>14913260</v>
      </c>
      <c r="X60" s="76">
        <v>170288.06719999999</v>
      </c>
      <c r="Y60" s="208">
        <v>-49375.814299999984</v>
      </c>
      <c r="Z60" s="74" t="s">
        <v>47</v>
      </c>
      <c r="AA60" s="76">
        <v>95</v>
      </c>
      <c r="AB60" s="76">
        <v>143.69999999999999</v>
      </c>
      <c r="AC60" s="76">
        <v>67912850.700000003</v>
      </c>
      <c r="AD60" s="200">
        <v>-0.31642403589056706</v>
      </c>
      <c r="AE60" s="76">
        <v>69345941.900000006</v>
      </c>
      <c r="AF60" s="76">
        <v>144.30000000000001</v>
      </c>
      <c r="AG60" s="200">
        <v>8.7863463969658523E-2</v>
      </c>
      <c r="AH60" s="74" t="s">
        <v>47</v>
      </c>
      <c r="AI60" s="76">
        <v>28522.2</v>
      </c>
      <c r="AJ60" s="76">
        <v>1053330.27</v>
      </c>
      <c r="AK60" s="76">
        <v>2.23</v>
      </c>
      <c r="AL60" s="76">
        <v>270531.26</v>
      </c>
      <c r="AM60" s="76">
        <v>0.56999999999999995</v>
      </c>
      <c r="AN60" s="76">
        <v>0</v>
      </c>
      <c r="AO60" s="76">
        <v>0</v>
      </c>
      <c r="AP60" s="76">
        <v>0</v>
      </c>
      <c r="AQ60" s="76">
        <v>0</v>
      </c>
      <c r="AR60" s="76">
        <v>6601</v>
      </c>
      <c r="AS60" s="76">
        <v>904.5</v>
      </c>
      <c r="AT60" s="76">
        <v>5696.5</v>
      </c>
      <c r="AU60" s="76">
        <v>6601</v>
      </c>
      <c r="AV60" s="74" t="s">
        <v>57</v>
      </c>
      <c r="AW60" s="165" t="str">
        <f>VLOOKUP(AV60,Table3[#All],2,FALSE)</f>
        <v>Region7</v>
      </c>
      <c r="AX60" s="161" t="str">
        <f>IF(Key!$B$1&gt;0,CONCATENATE(O60,AW60),CONCATENATE(M60,AW60))</f>
        <v>AreaDRegion7</v>
      </c>
    </row>
    <row r="61" spans="1:50" s="119" customFormat="1" ht="29.5" thickBot="1">
      <c r="A61" s="107" t="s">
        <v>86</v>
      </c>
      <c r="B61" s="29" t="s">
        <v>87</v>
      </c>
      <c r="C61" s="29" t="s">
        <v>44</v>
      </c>
      <c r="D61" s="30">
        <v>40543</v>
      </c>
      <c r="E61" s="29" t="s">
        <v>88</v>
      </c>
      <c r="F61" s="29" t="s">
        <v>89</v>
      </c>
      <c r="G61" s="31">
        <v>1</v>
      </c>
      <c r="H61" s="29" t="s">
        <v>77</v>
      </c>
      <c r="I61" s="31">
        <v>100</v>
      </c>
      <c r="J61" s="29" t="s">
        <v>49</v>
      </c>
      <c r="K61" s="29" t="s">
        <v>47</v>
      </c>
      <c r="L61" s="183">
        <v>312189</v>
      </c>
      <c r="M61" s="199" t="str">
        <f>VLOOKUP(L61,Table2[#All],2,TRUE)</f>
        <v>AreaD</v>
      </c>
      <c r="N61" s="31">
        <v>215.4</v>
      </c>
      <c r="O61" s="164" t="str">
        <f>VLOOKUP(N61,Table1[#All],2,TRUE)</f>
        <v>BedB</v>
      </c>
      <c r="P61" s="31">
        <v>1</v>
      </c>
      <c r="Q61" s="29" t="s">
        <v>50</v>
      </c>
      <c r="R61" s="29" t="s">
        <v>47</v>
      </c>
      <c r="S61" s="29" t="s">
        <v>47</v>
      </c>
      <c r="T61" s="31">
        <v>11190267.1</v>
      </c>
      <c r="U61" s="209">
        <v>1671231.4000000004</v>
      </c>
      <c r="V61" s="29" t="s">
        <v>47</v>
      </c>
      <c r="W61" s="31">
        <v>11190270</v>
      </c>
      <c r="X61" s="31">
        <v>102690.00128</v>
      </c>
      <c r="Y61" s="209">
        <v>177240.00472</v>
      </c>
      <c r="Z61" s="29" t="s">
        <v>47</v>
      </c>
      <c r="AA61" s="31">
        <v>92</v>
      </c>
      <c r="AB61" s="31">
        <v>155.19999999999999</v>
      </c>
      <c r="AC61" s="31">
        <v>48450196</v>
      </c>
      <c r="AD61" s="201">
        <v>0.32592381117534752</v>
      </c>
      <c r="AE61" s="31">
        <v>72817736.099999994</v>
      </c>
      <c r="AF61" s="31">
        <v>155.9</v>
      </c>
      <c r="AG61" s="201">
        <v>0.32246849196001737</v>
      </c>
      <c r="AH61" s="29" t="s">
        <v>47</v>
      </c>
      <c r="AI61" s="31">
        <v>20779</v>
      </c>
      <c r="AJ61" s="31">
        <v>996674.01</v>
      </c>
      <c r="AK61" s="31">
        <v>3.19</v>
      </c>
      <c r="AL61" s="31">
        <v>206934</v>
      </c>
      <c r="AM61" s="31">
        <v>0.66</v>
      </c>
      <c r="AN61" s="31">
        <v>0</v>
      </c>
      <c r="AO61" s="31">
        <v>0</v>
      </c>
      <c r="AP61" s="31">
        <v>0</v>
      </c>
      <c r="AQ61" s="31">
        <v>0</v>
      </c>
      <c r="AR61" s="31">
        <v>4819.8999999999996</v>
      </c>
      <c r="AS61" s="31">
        <v>545.4</v>
      </c>
      <c r="AT61" s="31">
        <v>4274.3999999999996</v>
      </c>
      <c r="AU61" s="31">
        <v>4819.8999999999996</v>
      </c>
      <c r="AV61" s="29" t="s">
        <v>57</v>
      </c>
      <c r="AW61" s="165" t="str">
        <f>VLOOKUP(AV61,Table3[#All],2,FALSE)</f>
        <v>Region7</v>
      </c>
      <c r="AX61" s="161" t="str">
        <f>IF(Key!$B$1&gt;0,CONCATENATE(O61,AW61),CONCATENATE(M61,AW61))</f>
        <v>AreaDRegion7</v>
      </c>
    </row>
    <row r="62" spans="1:50" s="68" customFormat="1" ht="29.5" thickBot="1">
      <c r="A62" s="120" t="s">
        <v>336</v>
      </c>
      <c r="B62" s="121" t="s">
        <v>337</v>
      </c>
      <c r="C62" s="121" t="s">
        <v>44</v>
      </c>
      <c r="D62" s="122">
        <v>43100</v>
      </c>
      <c r="E62" s="121" t="s">
        <v>338</v>
      </c>
      <c r="F62" s="121" t="s">
        <v>339</v>
      </c>
      <c r="G62" s="123">
        <v>1</v>
      </c>
      <c r="H62" s="121" t="s">
        <v>197</v>
      </c>
      <c r="I62" s="123">
        <v>85</v>
      </c>
      <c r="J62" s="121" t="s">
        <v>49</v>
      </c>
      <c r="K62" s="121" t="s">
        <v>49</v>
      </c>
      <c r="L62" s="189">
        <v>521184</v>
      </c>
      <c r="M62" s="199" t="str">
        <f>VLOOKUP(L62,Table2[#All],2,TRUE)</f>
        <v>AreaE</v>
      </c>
      <c r="N62" s="123">
        <v>399</v>
      </c>
      <c r="O62" s="164" t="str">
        <f>VLOOKUP(N62,Table1[#All],2,TRUE)</f>
        <v>BedC</v>
      </c>
      <c r="P62" s="123">
        <v>3</v>
      </c>
      <c r="Q62" s="121" t="s">
        <v>50</v>
      </c>
      <c r="R62" s="121" t="s">
        <v>47</v>
      </c>
      <c r="S62" s="121" t="s">
        <v>47</v>
      </c>
      <c r="T62" s="123">
        <v>11698676</v>
      </c>
      <c r="U62" s="211">
        <v>4445880.1999999993</v>
      </c>
      <c r="V62" s="121" t="s">
        <v>47</v>
      </c>
      <c r="W62" s="123">
        <v>11698680</v>
      </c>
      <c r="X62" s="123">
        <v>802053.71299999999</v>
      </c>
      <c r="Y62" s="211">
        <v>16616.217000000062</v>
      </c>
      <c r="Z62" s="121" t="s">
        <v>47</v>
      </c>
      <c r="AA62" s="123">
        <v>82</v>
      </c>
      <c r="AB62" s="123">
        <v>230.5</v>
      </c>
      <c r="AC62" s="123">
        <v>120121258.7</v>
      </c>
      <c r="AD62" s="203">
        <v>0.1228966292899733</v>
      </c>
      <c r="AE62" s="123">
        <v>120121255</v>
      </c>
      <c r="AF62" s="123">
        <v>235.2</v>
      </c>
      <c r="AG62" s="203">
        <v>0.12271540469973902</v>
      </c>
      <c r="AH62" s="121" t="s">
        <v>47</v>
      </c>
      <c r="AI62" s="121" t="s">
        <v>47</v>
      </c>
      <c r="AJ62" s="123">
        <v>1188849.95</v>
      </c>
      <c r="AK62" s="123">
        <v>2.2799999999999998</v>
      </c>
      <c r="AL62" s="121" t="s">
        <v>47</v>
      </c>
      <c r="AM62" s="121" t="s">
        <v>47</v>
      </c>
      <c r="AN62" s="123">
        <v>0</v>
      </c>
      <c r="AO62" s="123">
        <v>0</v>
      </c>
      <c r="AP62" s="123">
        <v>0</v>
      </c>
      <c r="AQ62" s="123">
        <v>0</v>
      </c>
      <c r="AR62" s="123">
        <v>11046.2</v>
      </c>
      <c r="AS62" s="123">
        <v>4260.1000000000004</v>
      </c>
      <c r="AT62" s="123">
        <v>6786.1</v>
      </c>
      <c r="AU62" s="123">
        <v>11046.2</v>
      </c>
      <c r="AV62" s="121" t="s">
        <v>340</v>
      </c>
      <c r="AW62" s="165" t="str">
        <f>VLOOKUP(AV62,Table3[#All],2,FALSE)</f>
        <v>Region5</v>
      </c>
      <c r="AX62" s="161" t="str">
        <f>IF(Key!$B$1&gt;0,CONCATENATE(O62,AW62),CONCATENATE(M62,AW62))</f>
        <v>AreaERegion5</v>
      </c>
    </row>
    <row r="63" spans="1:50" s="124" customFormat="1" ht="30" customHeight="1" thickBot="1">
      <c r="A63" s="82" t="s">
        <v>352</v>
      </c>
      <c r="B63" s="83" t="s">
        <v>353</v>
      </c>
      <c r="C63" s="83" t="s">
        <v>44</v>
      </c>
      <c r="D63" s="84">
        <v>43100</v>
      </c>
      <c r="E63" s="83" t="s">
        <v>354</v>
      </c>
      <c r="F63" s="83" t="s">
        <v>355</v>
      </c>
      <c r="G63" s="85">
        <v>1</v>
      </c>
      <c r="H63" s="83" t="s">
        <v>356</v>
      </c>
      <c r="I63" s="85">
        <v>100</v>
      </c>
      <c r="J63" s="83" t="s">
        <v>49</v>
      </c>
      <c r="K63" s="83" t="s">
        <v>49</v>
      </c>
      <c r="L63" s="174">
        <v>410844</v>
      </c>
      <c r="M63" s="199" t="str">
        <f>VLOOKUP(L63,Table2[#All],2,TRUE)</f>
        <v>AreaD</v>
      </c>
      <c r="N63" s="85">
        <v>331.5</v>
      </c>
      <c r="O63" s="164" t="str">
        <f>VLOOKUP(N63,Table1[#All],2,TRUE)</f>
        <v>BedC</v>
      </c>
      <c r="P63" s="85">
        <v>1</v>
      </c>
      <c r="Q63" s="83" t="s">
        <v>50</v>
      </c>
      <c r="R63" s="83" t="s">
        <v>47</v>
      </c>
      <c r="S63" s="83" t="s">
        <v>47</v>
      </c>
      <c r="T63" s="85">
        <v>15604496</v>
      </c>
      <c r="U63" s="208">
        <v>872299.80000000075</v>
      </c>
      <c r="V63" s="83" t="s">
        <v>47</v>
      </c>
      <c r="W63" s="85">
        <v>15604500</v>
      </c>
      <c r="X63" s="85">
        <v>781350.46799999999</v>
      </c>
      <c r="Y63" s="208">
        <v>54367.052999999956</v>
      </c>
      <c r="Z63" s="83" t="s">
        <v>47</v>
      </c>
      <c r="AA63" s="85">
        <v>7</v>
      </c>
      <c r="AB63" s="85">
        <v>275.60000000000002</v>
      </c>
      <c r="AC63" s="85">
        <v>131377593.5</v>
      </c>
      <c r="AD63" s="200">
        <v>6.0182826574471271E-2</v>
      </c>
      <c r="AE63" s="85">
        <v>133376768.5</v>
      </c>
      <c r="AF63" s="85">
        <v>281.89999999999998</v>
      </c>
      <c r="AG63" s="200">
        <v>5.0841750841750917E-2</v>
      </c>
      <c r="AH63" s="83" t="s">
        <v>47</v>
      </c>
      <c r="AI63" s="83" t="s">
        <v>47</v>
      </c>
      <c r="AJ63" s="85">
        <v>1360157.55</v>
      </c>
      <c r="AK63" s="85">
        <v>2.85</v>
      </c>
      <c r="AL63" s="83" t="s">
        <v>47</v>
      </c>
      <c r="AM63" s="83" t="s">
        <v>47</v>
      </c>
      <c r="AN63" s="85">
        <v>0</v>
      </c>
      <c r="AO63" s="85">
        <v>0</v>
      </c>
      <c r="AP63" s="85">
        <v>0</v>
      </c>
      <c r="AQ63" s="85">
        <v>0</v>
      </c>
      <c r="AR63" s="85">
        <v>13007.8</v>
      </c>
      <c r="AS63" s="85">
        <v>4150.1000000000004</v>
      </c>
      <c r="AT63" s="85">
        <v>8857.7000000000007</v>
      </c>
      <c r="AU63" s="85">
        <v>13007.8</v>
      </c>
      <c r="AV63" s="83" t="s">
        <v>51</v>
      </c>
      <c r="AW63" s="165" t="str">
        <f>VLOOKUP(AV63,Table3[#All],2,FALSE)</f>
        <v>Region2</v>
      </c>
      <c r="AX63" s="161" t="str">
        <f>IF(Key!$B$1&gt;0,CONCATENATE(O63,AW63),CONCATENATE(M63,AW63))</f>
        <v>AreaDRegion2</v>
      </c>
    </row>
    <row r="64" spans="1:50" s="124" customFormat="1" ht="29.5" thickBot="1">
      <c r="A64" s="73" t="s">
        <v>64</v>
      </c>
      <c r="B64" s="74" t="s">
        <v>65</v>
      </c>
      <c r="C64" s="74" t="s">
        <v>44</v>
      </c>
      <c r="D64" s="75">
        <v>42735</v>
      </c>
      <c r="E64" s="74" t="s">
        <v>66</v>
      </c>
      <c r="F64" s="74" t="s">
        <v>67</v>
      </c>
      <c r="G64" s="76">
        <v>9</v>
      </c>
      <c r="H64" s="74" t="s">
        <v>68</v>
      </c>
      <c r="I64" s="76">
        <v>100</v>
      </c>
      <c r="J64" s="74" t="s">
        <v>49</v>
      </c>
      <c r="K64" s="74" t="s">
        <v>49</v>
      </c>
      <c r="L64" s="172">
        <v>624499</v>
      </c>
      <c r="M64" s="199" t="str">
        <f>VLOOKUP(L64,Table2[#All],2,TRUE)</f>
        <v>AreaE</v>
      </c>
      <c r="N64" s="76">
        <v>422.6</v>
      </c>
      <c r="O64" s="164" t="str">
        <f>VLOOKUP(N64,Table1[#All],2,TRUE)</f>
        <v>BedC</v>
      </c>
      <c r="P64" s="76">
        <v>3</v>
      </c>
      <c r="Q64" s="74" t="s">
        <v>50</v>
      </c>
      <c r="R64" s="74" t="s">
        <v>47</v>
      </c>
      <c r="S64" s="74" t="s">
        <v>47</v>
      </c>
      <c r="T64" s="76">
        <v>19234951.399999999</v>
      </c>
      <c r="U64" s="208">
        <v>1721703.4000000022</v>
      </c>
      <c r="V64" s="74" t="s">
        <v>47</v>
      </c>
      <c r="W64" s="76">
        <v>19234950</v>
      </c>
      <c r="X64" s="76">
        <v>507566.02299999999</v>
      </c>
      <c r="Y64" s="208">
        <v>105159.99700000003</v>
      </c>
      <c r="Z64" s="74" t="s">
        <v>47</v>
      </c>
      <c r="AA64" s="76">
        <v>87</v>
      </c>
      <c r="AB64" s="76">
        <v>186.4</v>
      </c>
      <c r="AC64" s="76">
        <v>116386264.5</v>
      </c>
      <c r="AD64" s="200">
        <v>0.12344372338027262</v>
      </c>
      <c r="AE64" s="76">
        <v>116140736.7</v>
      </c>
      <c r="AF64" s="76">
        <v>189.2</v>
      </c>
      <c r="AG64" s="200">
        <v>0.10670443814919746</v>
      </c>
      <c r="AH64" s="74" t="s">
        <v>47</v>
      </c>
      <c r="AI64" s="76">
        <v>22884</v>
      </c>
      <c r="AJ64" s="76">
        <v>2253018.63</v>
      </c>
      <c r="AK64" s="76">
        <v>3.61</v>
      </c>
      <c r="AL64" s="76">
        <v>182855.91</v>
      </c>
      <c r="AM64" s="76">
        <v>0.28999999999999998</v>
      </c>
      <c r="AN64" s="76">
        <v>0</v>
      </c>
      <c r="AO64" s="76">
        <v>0</v>
      </c>
      <c r="AP64" s="76">
        <v>0</v>
      </c>
      <c r="AQ64" s="76">
        <v>0</v>
      </c>
      <c r="AR64" s="76">
        <v>7318.9</v>
      </c>
      <c r="AS64" s="76">
        <v>2695.9</v>
      </c>
      <c r="AT64" s="76">
        <v>4623</v>
      </c>
      <c r="AU64" s="76">
        <v>7318.9</v>
      </c>
      <c r="AV64" s="74" t="s">
        <v>69</v>
      </c>
      <c r="AW64" s="165" t="str">
        <f>VLOOKUP(AV64,Table3[#All],2,FALSE)</f>
        <v>Region9</v>
      </c>
      <c r="AX64" s="161" t="str">
        <f>IF(Key!$B$1&gt;0,CONCATENATE(O64,AW64),CONCATENATE(M64,AW64))</f>
        <v>AreaERegion9</v>
      </c>
    </row>
    <row r="65" spans="1:50" s="124" customFormat="1" ht="29.5" thickBot="1">
      <c r="A65" s="82" t="s">
        <v>347</v>
      </c>
      <c r="B65" s="83" t="s">
        <v>348</v>
      </c>
      <c r="C65" s="83" t="s">
        <v>44</v>
      </c>
      <c r="D65" s="84">
        <v>43100</v>
      </c>
      <c r="E65" s="83" t="s">
        <v>349</v>
      </c>
      <c r="F65" s="83" t="s">
        <v>350</v>
      </c>
      <c r="G65" s="85">
        <v>1</v>
      </c>
      <c r="H65" s="83" t="s">
        <v>351</v>
      </c>
      <c r="I65" s="85">
        <v>100</v>
      </c>
      <c r="J65" s="83" t="s">
        <v>49</v>
      </c>
      <c r="K65" s="83" t="s">
        <v>49</v>
      </c>
      <c r="L65" s="174">
        <v>374000</v>
      </c>
      <c r="M65" s="199" t="str">
        <f>VLOOKUP(L65,Table2[#All],2,TRUE)</f>
        <v>AreaD</v>
      </c>
      <c r="N65" s="85">
        <v>231.49</v>
      </c>
      <c r="O65" s="164" t="str">
        <f>VLOOKUP(N65,Table1[#All],2,TRUE)</f>
        <v>BedB</v>
      </c>
      <c r="P65" s="85">
        <v>1</v>
      </c>
      <c r="Q65" s="83" t="s">
        <v>50</v>
      </c>
      <c r="R65" s="83" t="s">
        <v>47</v>
      </c>
      <c r="S65" s="83" t="s">
        <v>47</v>
      </c>
      <c r="T65" s="85">
        <v>9714203.4000000004</v>
      </c>
      <c r="U65" s="208">
        <v>134093.90000000037</v>
      </c>
      <c r="V65" s="83" t="s">
        <v>47</v>
      </c>
      <c r="W65" s="85">
        <v>9714205</v>
      </c>
      <c r="X65" s="85">
        <v>506217.67300000001</v>
      </c>
      <c r="Y65" s="208">
        <v>-10743.990600000019</v>
      </c>
      <c r="Z65" s="83" t="s">
        <v>47</v>
      </c>
      <c r="AA65" s="85">
        <v>61</v>
      </c>
      <c r="AB65" s="85">
        <v>224</v>
      </c>
      <c r="AC65" s="85">
        <v>83766633.200000003</v>
      </c>
      <c r="AD65" s="200">
        <v>-7.4187896719263629E-3</v>
      </c>
      <c r="AE65" s="85">
        <v>83766637.400000006</v>
      </c>
      <c r="AF65" s="85">
        <v>227.6</v>
      </c>
      <c r="AG65" s="200">
        <v>-1.3357079252003563E-2</v>
      </c>
      <c r="AH65" s="83" t="s">
        <v>47</v>
      </c>
      <c r="AI65" s="83" t="s">
        <v>47</v>
      </c>
      <c r="AJ65" s="85">
        <v>980231.48</v>
      </c>
      <c r="AK65" s="85">
        <v>2.62</v>
      </c>
      <c r="AL65" s="83" t="s">
        <v>47</v>
      </c>
      <c r="AM65" s="83" t="s">
        <v>47</v>
      </c>
      <c r="AN65" s="85">
        <v>0</v>
      </c>
      <c r="AO65" s="85">
        <v>0</v>
      </c>
      <c r="AP65" s="85">
        <v>0</v>
      </c>
      <c r="AQ65" s="85">
        <v>0</v>
      </c>
      <c r="AR65" s="85">
        <v>6046.7</v>
      </c>
      <c r="AS65" s="85">
        <v>2688.8</v>
      </c>
      <c r="AT65" s="85">
        <v>3358</v>
      </c>
      <c r="AU65" s="85">
        <v>6046.7</v>
      </c>
      <c r="AV65" s="83" t="s">
        <v>51</v>
      </c>
      <c r="AW65" s="165" t="str">
        <f>VLOOKUP(AV65,Table3[#All],2,FALSE)</f>
        <v>Region2</v>
      </c>
      <c r="AX65" s="161" t="str">
        <f>IF(Key!$B$1&gt;0,CONCATENATE(O65,AW65),CONCATENATE(M65,AW65))</f>
        <v>AreaDRegion2</v>
      </c>
    </row>
    <row r="66" spans="1:50" s="124" customFormat="1" ht="29.5" thickBot="1">
      <c r="A66" s="73" t="s">
        <v>151</v>
      </c>
      <c r="B66" s="74" t="s">
        <v>152</v>
      </c>
      <c r="C66" s="74" t="s">
        <v>44</v>
      </c>
      <c r="D66" s="75">
        <v>42735</v>
      </c>
      <c r="E66" s="74" t="s">
        <v>153</v>
      </c>
      <c r="F66" s="74" t="s">
        <v>154</v>
      </c>
      <c r="G66" s="76">
        <v>1</v>
      </c>
      <c r="H66" s="74" t="s">
        <v>90</v>
      </c>
      <c r="I66" s="76">
        <v>100</v>
      </c>
      <c r="J66" s="74" t="s">
        <v>49</v>
      </c>
      <c r="K66" s="74" t="s">
        <v>47</v>
      </c>
      <c r="L66" s="172">
        <v>197244</v>
      </c>
      <c r="M66" s="199" t="str">
        <f>VLOOKUP(L66,Table2[#All],2,TRUE)</f>
        <v>AreaC</v>
      </c>
      <c r="N66" s="76">
        <v>96</v>
      </c>
      <c r="O66" s="164" t="str">
        <f>VLOOKUP(N66,Table1[#All],2,TRUE)</f>
        <v>BedA</v>
      </c>
      <c r="P66" s="76">
        <v>1</v>
      </c>
      <c r="Q66" s="74" t="s">
        <v>113</v>
      </c>
      <c r="R66" s="74" t="s">
        <v>47</v>
      </c>
      <c r="S66" s="74" t="s">
        <v>47</v>
      </c>
      <c r="T66" s="76">
        <v>6482255.4000000004</v>
      </c>
      <c r="U66" s="208">
        <v>631758</v>
      </c>
      <c r="V66" s="74" t="s">
        <v>47</v>
      </c>
      <c r="W66" s="76">
        <v>6482256</v>
      </c>
      <c r="X66" s="76">
        <v>237740.00589999999</v>
      </c>
      <c r="Y66" s="208">
        <v>89029.967300000018</v>
      </c>
      <c r="Z66" s="74" t="s">
        <v>47</v>
      </c>
      <c r="AA66" s="76">
        <v>48</v>
      </c>
      <c r="AB66" s="76">
        <v>232.7</v>
      </c>
      <c r="AC66" s="76">
        <v>45891458.600000001</v>
      </c>
      <c r="AD66" s="200">
        <v>0.19418002952554145</v>
      </c>
      <c r="AE66" s="76">
        <v>46442202.799999997</v>
      </c>
      <c r="AF66" s="76">
        <v>234.1</v>
      </c>
      <c r="AG66" s="200">
        <v>0.19108500345542498</v>
      </c>
      <c r="AH66" s="74" t="s">
        <v>47</v>
      </c>
      <c r="AI66" s="74" t="s">
        <v>47</v>
      </c>
      <c r="AJ66" s="76">
        <v>667000.43999999994</v>
      </c>
      <c r="AK66" s="76">
        <v>3.38</v>
      </c>
      <c r="AL66" s="74" t="s">
        <v>47</v>
      </c>
      <c r="AM66" s="74" t="s">
        <v>47</v>
      </c>
      <c r="AN66" s="76">
        <v>0</v>
      </c>
      <c r="AO66" s="76">
        <v>0</v>
      </c>
      <c r="AP66" s="76">
        <v>0</v>
      </c>
      <c r="AQ66" s="76">
        <v>0</v>
      </c>
      <c r="AR66" s="76">
        <v>4244.3</v>
      </c>
      <c r="AS66" s="76">
        <v>1262.8</v>
      </c>
      <c r="AT66" s="76">
        <v>2981.6</v>
      </c>
      <c r="AU66" s="76">
        <v>4244.3</v>
      </c>
      <c r="AV66" s="74" t="s">
        <v>57</v>
      </c>
      <c r="AW66" s="165" t="str">
        <f>VLOOKUP(AV66,Table3[#All],2,FALSE)</f>
        <v>Region7</v>
      </c>
      <c r="AX66" s="161" t="str">
        <f>IF(Key!$B$1&gt;0,CONCATENATE(O66,AW66),CONCATENATE(M66,AW66))</f>
        <v>AreaCRegion7</v>
      </c>
    </row>
    <row r="67" spans="1:50" s="124" customFormat="1" ht="29">
      <c r="A67" s="73" t="s">
        <v>97</v>
      </c>
      <c r="B67" s="74" t="s">
        <v>98</v>
      </c>
      <c r="C67" s="74" t="s">
        <v>44</v>
      </c>
      <c r="D67" s="75">
        <v>42735</v>
      </c>
      <c r="E67" s="74" t="s">
        <v>99</v>
      </c>
      <c r="F67" s="74" t="s">
        <v>100</v>
      </c>
      <c r="G67" s="76">
        <v>1</v>
      </c>
      <c r="H67" s="74" t="s">
        <v>76</v>
      </c>
      <c r="I67" s="76">
        <v>100</v>
      </c>
      <c r="J67" s="74" t="s">
        <v>49</v>
      </c>
      <c r="K67" s="74" t="s">
        <v>49</v>
      </c>
      <c r="L67" s="172">
        <v>59966</v>
      </c>
      <c r="M67" s="199" t="str">
        <f>VLOOKUP(L67,Table2[#All],2,TRUE)</f>
        <v>AreaB</v>
      </c>
      <c r="N67" s="76">
        <v>35</v>
      </c>
      <c r="O67" s="164" t="str">
        <f>VLOOKUP(N67,Table1[#All],2,TRUE)</f>
        <v>BedA</v>
      </c>
      <c r="P67" s="76">
        <v>0</v>
      </c>
      <c r="Q67" s="74" t="s">
        <v>50</v>
      </c>
      <c r="R67" s="74" t="s">
        <v>47</v>
      </c>
      <c r="S67" s="74" t="s">
        <v>47</v>
      </c>
      <c r="T67" s="76">
        <v>3912563.2</v>
      </c>
      <c r="U67" s="208">
        <v>160479</v>
      </c>
      <c r="V67" s="74" t="s">
        <v>47</v>
      </c>
      <c r="W67" s="76">
        <v>3912564</v>
      </c>
      <c r="X67" s="76">
        <v>82050.678899999999</v>
      </c>
      <c r="Y67" s="208">
        <v>10569.707399999985</v>
      </c>
      <c r="Z67" s="74" t="s">
        <v>47</v>
      </c>
      <c r="AA67" s="76">
        <v>1</v>
      </c>
      <c r="AB67" s="76">
        <v>359.4</v>
      </c>
      <c r="AC67" s="76">
        <v>21554735.100000001</v>
      </c>
      <c r="AD67" s="200">
        <v>6.9282226035873015E-2</v>
      </c>
      <c r="AE67" s="76">
        <v>21547542.199999999</v>
      </c>
      <c r="AF67" s="76">
        <v>358.6</v>
      </c>
      <c r="AG67" s="200">
        <v>7.2426280393171227E-2</v>
      </c>
      <c r="AH67" s="74" t="s">
        <v>47</v>
      </c>
      <c r="AI67" s="74" t="s">
        <v>47</v>
      </c>
      <c r="AJ67" s="76">
        <v>394989.62</v>
      </c>
      <c r="AK67" s="76">
        <v>6.59</v>
      </c>
      <c r="AL67" s="74" t="s">
        <v>47</v>
      </c>
      <c r="AM67" s="74" t="s">
        <v>47</v>
      </c>
      <c r="AN67" s="76">
        <v>0</v>
      </c>
      <c r="AO67" s="76">
        <v>0</v>
      </c>
      <c r="AP67" s="76">
        <v>0</v>
      </c>
      <c r="AQ67" s="76">
        <v>0</v>
      </c>
      <c r="AR67" s="76">
        <v>2662.7</v>
      </c>
      <c r="AS67" s="76">
        <v>435.8</v>
      </c>
      <c r="AT67" s="76">
        <v>2226.9</v>
      </c>
      <c r="AU67" s="76">
        <v>2662.7</v>
      </c>
      <c r="AV67" s="74" t="s">
        <v>101</v>
      </c>
      <c r="AW67" s="165" t="str">
        <f>VLOOKUP(AV67,Table3[#All],2,FALSE)</f>
        <v>Region7</v>
      </c>
      <c r="AX67" s="161" t="str">
        <f>IF(Key!$B$1&gt;0,CONCATENATE(O67,AW67),CONCATENATE(M67,AW67))</f>
        <v>AreaBRegion7</v>
      </c>
    </row>
    <row r="68" spans="1:50" s="125" customFormat="1" ht="29.5" thickBot="1">
      <c r="A68" s="114" t="s">
        <v>97</v>
      </c>
      <c r="B68" s="17" t="s">
        <v>98</v>
      </c>
      <c r="C68" s="17" t="s">
        <v>44</v>
      </c>
      <c r="D68" s="18">
        <v>42369</v>
      </c>
      <c r="E68" s="17" t="s">
        <v>99</v>
      </c>
      <c r="F68" s="17" t="s">
        <v>100</v>
      </c>
      <c r="G68" s="19">
        <v>1</v>
      </c>
      <c r="H68" s="17" t="s">
        <v>76</v>
      </c>
      <c r="I68" s="19">
        <v>100</v>
      </c>
      <c r="J68" s="17" t="s">
        <v>49</v>
      </c>
      <c r="K68" s="17" t="s">
        <v>49</v>
      </c>
      <c r="L68" s="187">
        <v>59966</v>
      </c>
      <c r="M68" s="199" t="str">
        <f>VLOOKUP(L68,Table2[#All],2,TRUE)</f>
        <v>AreaB</v>
      </c>
      <c r="N68" s="19">
        <v>35</v>
      </c>
      <c r="O68" s="164" t="str">
        <f>VLOOKUP(N68,Table1[#All],2,TRUE)</f>
        <v>BedA</v>
      </c>
      <c r="P68" s="19">
        <v>0</v>
      </c>
      <c r="Q68" s="17" t="s">
        <v>50</v>
      </c>
      <c r="R68" s="17" t="s">
        <v>47</v>
      </c>
      <c r="S68" s="17" t="s">
        <v>47</v>
      </c>
      <c r="T68" s="19">
        <v>4073042.2</v>
      </c>
      <c r="U68" s="209">
        <v>688559.89999999944</v>
      </c>
      <c r="V68" s="17" t="s">
        <v>47</v>
      </c>
      <c r="W68" s="19">
        <v>4073043</v>
      </c>
      <c r="X68" s="19">
        <v>92620.386299999984</v>
      </c>
      <c r="Y68" s="209">
        <v>13446.654600000023</v>
      </c>
      <c r="Z68" s="17" t="s">
        <v>47</v>
      </c>
      <c r="AA68" s="19">
        <v>1</v>
      </c>
      <c r="AB68" s="19">
        <v>386.2</v>
      </c>
      <c r="AC68" s="19">
        <v>23159260.199999999</v>
      </c>
      <c r="AD68" s="201">
        <v>0.13756348076287681</v>
      </c>
      <c r="AE68" s="19">
        <v>23190222.100000001</v>
      </c>
      <c r="AF68" s="19">
        <v>386.6</v>
      </c>
      <c r="AG68" s="201">
        <v>0.13666815542652966</v>
      </c>
      <c r="AH68" s="17" t="s">
        <v>47</v>
      </c>
      <c r="AI68" s="19">
        <v>3053.3</v>
      </c>
      <c r="AJ68" s="19">
        <v>403118.55</v>
      </c>
      <c r="AK68" s="19">
        <v>6.72</v>
      </c>
      <c r="AL68" s="19">
        <v>6167.62</v>
      </c>
      <c r="AM68" s="19">
        <v>0.1</v>
      </c>
      <c r="AN68" s="19">
        <v>0</v>
      </c>
      <c r="AO68" s="19">
        <v>0</v>
      </c>
      <c r="AP68" s="19">
        <v>0</v>
      </c>
      <c r="AQ68" s="19">
        <v>0</v>
      </c>
      <c r="AR68" s="19">
        <v>2810.2</v>
      </c>
      <c r="AS68" s="19">
        <v>492</v>
      </c>
      <c r="AT68" s="19">
        <v>2318.3000000000002</v>
      </c>
      <c r="AU68" s="19">
        <v>2810.2</v>
      </c>
      <c r="AV68" s="17" t="s">
        <v>101</v>
      </c>
      <c r="AW68" s="165" t="str">
        <f>VLOOKUP(AV68,Table3[#All],2,FALSE)</f>
        <v>Region7</v>
      </c>
      <c r="AX68" s="161" t="str">
        <f>IF(Key!$B$1&gt;0,CONCATENATE(O68,AW68),CONCATENATE(M68,AW68))</f>
        <v>AreaBRegion7</v>
      </c>
    </row>
    <row r="69" spans="1:50" s="124" customFormat="1" ht="29.5" thickBot="1">
      <c r="A69" s="96" t="s">
        <v>181</v>
      </c>
      <c r="B69" s="97" t="s">
        <v>182</v>
      </c>
      <c r="C69" s="97" t="s">
        <v>44</v>
      </c>
      <c r="D69" s="98">
        <v>42004</v>
      </c>
      <c r="E69" s="97" t="s">
        <v>183</v>
      </c>
      <c r="F69" s="97" t="s">
        <v>184</v>
      </c>
      <c r="G69" s="99">
        <v>7</v>
      </c>
      <c r="H69" s="97" t="s">
        <v>185</v>
      </c>
      <c r="I69" s="99">
        <v>100</v>
      </c>
      <c r="J69" s="97" t="s">
        <v>49</v>
      </c>
      <c r="K69" s="97" t="s">
        <v>47</v>
      </c>
      <c r="L69" s="180">
        <v>500000</v>
      </c>
      <c r="M69" s="199" t="str">
        <f>VLOOKUP(L69,Table2[#All],2,TRUE)</f>
        <v>AreaE</v>
      </c>
      <c r="N69" s="99">
        <v>345</v>
      </c>
      <c r="O69" s="164" t="str">
        <f>VLOOKUP(N69,Table1[#All],2,TRUE)</f>
        <v>BedC</v>
      </c>
      <c r="P69" s="99">
        <v>2</v>
      </c>
      <c r="Q69" s="97" t="s">
        <v>113</v>
      </c>
      <c r="R69" s="97" t="s">
        <v>47</v>
      </c>
      <c r="S69" s="97" t="s">
        <v>47</v>
      </c>
      <c r="T69" s="99">
        <v>21149248.899999999</v>
      </c>
      <c r="U69" s="208">
        <v>-581741.09999999776</v>
      </c>
      <c r="V69" s="97" t="s">
        <v>47</v>
      </c>
      <c r="W69" s="99">
        <v>21149250</v>
      </c>
      <c r="X69" s="99">
        <v>798258.79418700002</v>
      </c>
      <c r="Y69" s="208">
        <v>22551.468577999971</v>
      </c>
      <c r="Z69" s="97" t="s">
        <v>47</v>
      </c>
      <c r="AA69" s="99">
        <v>25</v>
      </c>
      <c r="AB69" s="99">
        <v>304</v>
      </c>
      <c r="AC69" s="99">
        <v>151987125.5</v>
      </c>
      <c r="AD69" s="200">
        <v>1.7749281858415555E-3</v>
      </c>
      <c r="AE69" s="99">
        <v>152234569.30000001</v>
      </c>
      <c r="AF69" s="99">
        <v>299.89999999999998</v>
      </c>
      <c r="AG69" s="200">
        <v>1.6398819285011482E-2</v>
      </c>
      <c r="AH69" s="97" t="s">
        <v>47</v>
      </c>
      <c r="AI69" s="97" t="s">
        <v>47</v>
      </c>
      <c r="AJ69" s="97" t="s">
        <v>47</v>
      </c>
      <c r="AK69" s="97" t="s">
        <v>47</v>
      </c>
      <c r="AL69" s="97" t="s">
        <v>47</v>
      </c>
      <c r="AM69" s="97" t="s">
        <v>47</v>
      </c>
      <c r="AN69" s="99">
        <v>0</v>
      </c>
      <c r="AO69" s="99">
        <v>0</v>
      </c>
      <c r="AP69" s="99">
        <v>0</v>
      </c>
      <c r="AQ69" s="99">
        <v>0</v>
      </c>
      <c r="AR69" s="99">
        <v>15680.6</v>
      </c>
      <c r="AS69" s="99">
        <v>4239.8999999999996</v>
      </c>
      <c r="AT69" s="99">
        <v>11440.7</v>
      </c>
      <c r="AU69" s="99">
        <v>15680.6</v>
      </c>
      <c r="AV69" s="97" t="s">
        <v>186</v>
      </c>
      <c r="AW69" s="165" t="str">
        <f>VLOOKUP(AV69,Table3[#All],2,FALSE)</f>
        <v>Region3</v>
      </c>
      <c r="AX69" s="161" t="str">
        <f>IF(Key!$B$1&gt;0,CONCATENATE(O69,AW69),CONCATENATE(M69,AW69))</f>
        <v>AreaERegion3</v>
      </c>
    </row>
    <row r="70" spans="1:50" s="124" customFormat="1" ht="29">
      <c r="A70" s="90" t="s">
        <v>249</v>
      </c>
      <c r="B70" s="91" t="s">
        <v>250</v>
      </c>
      <c r="C70" s="91" t="s">
        <v>44</v>
      </c>
      <c r="D70" s="92">
        <v>41274</v>
      </c>
      <c r="E70" s="91" t="s">
        <v>238</v>
      </c>
      <c r="F70" s="91" t="s">
        <v>251</v>
      </c>
      <c r="G70" s="93">
        <v>9</v>
      </c>
      <c r="H70" s="91" t="s">
        <v>252</v>
      </c>
      <c r="I70" s="93">
        <v>100</v>
      </c>
      <c r="J70" s="91" t="s">
        <v>49</v>
      </c>
      <c r="K70" s="91" t="s">
        <v>49</v>
      </c>
      <c r="L70" s="177">
        <v>1267494</v>
      </c>
      <c r="M70" s="199" t="str">
        <f>VLOOKUP(L70,Table2[#All],2,TRUE)</f>
        <v>AreaF</v>
      </c>
      <c r="N70" s="93">
        <v>657</v>
      </c>
      <c r="O70" s="164" t="str">
        <f>VLOOKUP(N70,Table1[#All],2,TRUE)</f>
        <v>BedD</v>
      </c>
      <c r="P70" s="93">
        <v>2</v>
      </c>
      <c r="Q70" s="91" t="s">
        <v>50</v>
      </c>
      <c r="R70" s="91" t="s">
        <v>47</v>
      </c>
      <c r="S70" s="91" t="s">
        <v>47</v>
      </c>
      <c r="T70" s="93">
        <v>35490770.299999997</v>
      </c>
      <c r="U70" s="208">
        <v>-8328.5999999940395</v>
      </c>
      <c r="V70" s="91" t="s">
        <v>47</v>
      </c>
      <c r="W70" s="93">
        <v>35490770</v>
      </c>
      <c r="X70" s="93">
        <v>1480333.311</v>
      </c>
      <c r="Y70" s="208">
        <v>6709.0069999999832</v>
      </c>
      <c r="Z70" s="91" t="s">
        <v>47</v>
      </c>
      <c r="AA70" s="93">
        <v>66</v>
      </c>
      <c r="AB70" s="93">
        <v>212.6</v>
      </c>
      <c r="AC70" s="93">
        <v>269531642.10000002</v>
      </c>
      <c r="AD70" s="200">
        <v>2.2190242725854833E-3</v>
      </c>
      <c r="AE70" s="93">
        <v>275392632.10000002</v>
      </c>
      <c r="AF70" s="93">
        <v>216.8</v>
      </c>
      <c r="AG70" s="200">
        <v>-8.8413215449046328E-3</v>
      </c>
      <c r="AH70" s="91" t="s">
        <v>47</v>
      </c>
      <c r="AI70" s="93">
        <v>92367.8</v>
      </c>
      <c r="AJ70" s="93">
        <v>3299575.45</v>
      </c>
      <c r="AK70" s="93">
        <v>2.6</v>
      </c>
      <c r="AL70" s="93">
        <v>621333.87</v>
      </c>
      <c r="AM70" s="93">
        <v>0.49</v>
      </c>
      <c r="AN70" s="93">
        <v>343000</v>
      </c>
      <c r="AO70" s="93">
        <v>0</v>
      </c>
      <c r="AP70" s="93">
        <v>0</v>
      </c>
      <c r="AQ70" s="93">
        <v>0</v>
      </c>
      <c r="AR70" s="93">
        <v>7892.7</v>
      </c>
      <c r="AS70" s="93">
        <v>7892.7</v>
      </c>
      <c r="AT70" s="93">
        <v>0</v>
      </c>
      <c r="AU70" s="93">
        <v>7892.7</v>
      </c>
      <c r="AV70" s="91" t="s">
        <v>91</v>
      </c>
      <c r="AW70" s="165" t="str">
        <f>VLOOKUP(AV70,Table3[#All],2,FALSE)</f>
        <v>Region5</v>
      </c>
      <c r="AX70" s="161" t="str">
        <f>IF(Key!$B$1&gt;0,CONCATENATE(O70,AW70),CONCATENATE(M70,AW70))</f>
        <v>AreaFRegion5</v>
      </c>
    </row>
    <row r="71" spans="1:50" s="125" customFormat="1" ht="29">
      <c r="A71" s="95" t="s">
        <v>249</v>
      </c>
      <c r="B71" s="32" t="s">
        <v>250</v>
      </c>
      <c r="C71" s="32" t="s">
        <v>44</v>
      </c>
      <c r="D71" s="33">
        <v>40908</v>
      </c>
      <c r="E71" s="32" t="s">
        <v>238</v>
      </c>
      <c r="F71" s="32" t="s">
        <v>251</v>
      </c>
      <c r="G71" s="34">
        <v>9</v>
      </c>
      <c r="H71" s="32" t="s">
        <v>252</v>
      </c>
      <c r="I71" s="34">
        <v>100</v>
      </c>
      <c r="J71" s="32" t="s">
        <v>49</v>
      </c>
      <c r="K71" s="32" t="s">
        <v>49</v>
      </c>
      <c r="L71" s="179">
        <v>1267494</v>
      </c>
      <c r="M71" s="199" t="str">
        <f>VLOOKUP(L71,Table2[#All],2,TRUE)</f>
        <v>AreaF</v>
      </c>
      <c r="N71" s="34">
        <v>661</v>
      </c>
      <c r="O71" s="164" t="str">
        <f>VLOOKUP(N71,Table1[#All],2,TRUE)</f>
        <v>BedD</v>
      </c>
      <c r="P71" s="34">
        <v>2</v>
      </c>
      <c r="Q71" s="32" t="s">
        <v>50</v>
      </c>
      <c r="R71" s="32" t="s">
        <v>47</v>
      </c>
      <c r="S71" s="32" t="s">
        <v>47</v>
      </c>
      <c r="T71" s="34">
        <v>35482441.700000003</v>
      </c>
      <c r="U71" s="209">
        <v>-1011998.700000003</v>
      </c>
      <c r="V71" s="32" t="s">
        <v>47</v>
      </c>
      <c r="W71" s="34">
        <v>35482450</v>
      </c>
      <c r="X71" s="34">
        <v>1487042.318</v>
      </c>
      <c r="Y71" s="209">
        <v>173440.70699999994</v>
      </c>
      <c r="Z71" s="32" t="s">
        <v>47</v>
      </c>
      <c r="AA71" s="34">
        <v>67</v>
      </c>
      <c r="AB71" s="34">
        <v>213.1</v>
      </c>
      <c r="AC71" s="34">
        <v>270131069.5</v>
      </c>
      <c r="AD71" s="201">
        <v>4.8515187587608886E-2</v>
      </c>
      <c r="AE71" s="34">
        <v>274943457.89999998</v>
      </c>
      <c r="AF71" s="34">
        <v>214.9</v>
      </c>
      <c r="AG71" s="201">
        <v>3.5890533871691339E-2</v>
      </c>
      <c r="AH71" s="32" t="s">
        <v>47</v>
      </c>
      <c r="AI71" s="34">
        <v>96564.2</v>
      </c>
      <c r="AJ71" s="34">
        <v>3635574.61</v>
      </c>
      <c r="AK71" s="34">
        <v>2.87</v>
      </c>
      <c r="AL71" s="32" t="s">
        <v>47</v>
      </c>
      <c r="AM71" s="32" t="s">
        <v>47</v>
      </c>
      <c r="AN71" s="34">
        <v>343000</v>
      </c>
      <c r="AO71" s="34">
        <v>0</v>
      </c>
      <c r="AP71" s="34">
        <v>0</v>
      </c>
      <c r="AQ71" s="34">
        <v>0</v>
      </c>
      <c r="AR71" s="34">
        <v>7925.2</v>
      </c>
      <c r="AS71" s="34">
        <v>7925.2</v>
      </c>
      <c r="AT71" s="34">
        <v>0</v>
      </c>
      <c r="AU71" s="34">
        <v>7925.2</v>
      </c>
      <c r="AV71" s="32" t="s">
        <v>91</v>
      </c>
      <c r="AW71" s="165" t="str">
        <f>VLOOKUP(AV71,Table3[#All],2,FALSE)</f>
        <v>Region5</v>
      </c>
      <c r="AX71" s="161" t="str">
        <f>IF(Key!$B$1&gt;0,CONCATENATE(O71,AW71),CONCATENATE(M71,AW71))</f>
        <v>AreaFRegion5</v>
      </c>
    </row>
    <row r="72" spans="1:50" s="125" customFormat="1" ht="29.5" thickBot="1">
      <c r="A72" s="104" t="s">
        <v>249</v>
      </c>
      <c r="B72" s="35" t="s">
        <v>250</v>
      </c>
      <c r="C72" s="35" t="s">
        <v>44</v>
      </c>
      <c r="D72" s="36">
        <v>40178</v>
      </c>
      <c r="E72" s="35" t="s">
        <v>238</v>
      </c>
      <c r="F72" s="35" t="s">
        <v>251</v>
      </c>
      <c r="G72" s="37">
        <v>9</v>
      </c>
      <c r="H72" s="35" t="s">
        <v>252</v>
      </c>
      <c r="I72" s="37">
        <v>100</v>
      </c>
      <c r="J72" s="35" t="s">
        <v>49</v>
      </c>
      <c r="K72" s="35" t="s">
        <v>49</v>
      </c>
      <c r="L72" s="182">
        <v>1252720.8</v>
      </c>
      <c r="M72" s="199" t="str">
        <f>VLOOKUP(L72,Table2[#All],2,TRUE)</f>
        <v>AreaF</v>
      </c>
      <c r="N72" s="37">
        <v>882.9</v>
      </c>
      <c r="O72" s="164" t="str">
        <f>VLOOKUP(N72,Table1[#All],2,TRUE)</f>
        <v>BedD</v>
      </c>
      <c r="P72" s="37">
        <v>2</v>
      </c>
      <c r="Q72" s="35" t="s">
        <v>50</v>
      </c>
      <c r="R72" s="35" t="s">
        <v>47</v>
      </c>
      <c r="S72" s="35" t="s">
        <v>47</v>
      </c>
      <c r="T72" s="37">
        <v>33983927.600000001</v>
      </c>
      <c r="U72" s="209">
        <v>1979690.299999997</v>
      </c>
      <c r="V72" s="35" t="s">
        <v>47</v>
      </c>
      <c r="W72" s="37">
        <v>33983930</v>
      </c>
      <c r="X72" s="37">
        <v>1677806.8470000001</v>
      </c>
      <c r="Y72" s="209">
        <v>98855.187999999849</v>
      </c>
      <c r="Z72" s="35" t="s">
        <v>47</v>
      </c>
      <c r="AA72" s="37">
        <v>58</v>
      </c>
      <c r="AB72" s="37">
        <v>227.2</v>
      </c>
      <c r="AC72" s="37">
        <v>284577315.80000001</v>
      </c>
      <c r="AD72" s="201">
        <v>5.4975208808414951E-2</v>
      </c>
      <c r="AE72" s="37">
        <v>298910334.5</v>
      </c>
      <c r="AF72" s="37">
        <v>228.2</v>
      </c>
      <c r="AG72" s="201">
        <v>5.4681027340513742E-2</v>
      </c>
      <c r="AH72" s="35" t="s">
        <v>47</v>
      </c>
      <c r="AI72" s="35" t="s">
        <v>47</v>
      </c>
      <c r="AJ72" s="37">
        <v>4627046.29</v>
      </c>
      <c r="AK72" s="37">
        <v>3.69</v>
      </c>
      <c r="AL72" s="35" t="s">
        <v>47</v>
      </c>
      <c r="AM72" s="35" t="s">
        <v>47</v>
      </c>
      <c r="AN72" s="37">
        <v>343000</v>
      </c>
      <c r="AO72" s="37">
        <v>0</v>
      </c>
      <c r="AP72" s="37">
        <v>0</v>
      </c>
      <c r="AQ72" s="37">
        <v>0</v>
      </c>
      <c r="AR72" s="37">
        <v>8974.2000000000007</v>
      </c>
      <c r="AS72" s="37">
        <v>8974.2000000000007</v>
      </c>
      <c r="AT72" s="37">
        <v>0</v>
      </c>
      <c r="AU72" s="37">
        <v>8974.2000000000007</v>
      </c>
      <c r="AV72" s="35" t="s">
        <v>91</v>
      </c>
      <c r="AW72" s="165" t="str">
        <f>VLOOKUP(AV72,Table3[#All],2,FALSE)</f>
        <v>Region5</v>
      </c>
      <c r="AX72" s="161" t="str">
        <f>IF(Key!$B$1&gt;0,CONCATENATE(O72,AW72),CONCATENATE(M72,AW72))</f>
        <v>AreaFRegion5</v>
      </c>
    </row>
    <row r="73" spans="1:50" s="126" customFormat="1" ht="30" customHeight="1" thickBot="1">
      <c r="A73" s="73" t="s">
        <v>42</v>
      </c>
      <c r="B73" s="74" t="s">
        <v>43</v>
      </c>
      <c r="C73" s="74" t="s">
        <v>44</v>
      </c>
      <c r="D73" s="75">
        <v>42735</v>
      </c>
      <c r="E73" s="74" t="s">
        <v>45</v>
      </c>
      <c r="F73" s="74" t="s">
        <v>46</v>
      </c>
      <c r="G73" s="76">
        <v>1</v>
      </c>
      <c r="H73" s="74" t="s">
        <v>48</v>
      </c>
      <c r="I73" s="76">
        <v>100</v>
      </c>
      <c r="J73" s="74" t="s">
        <v>49</v>
      </c>
      <c r="K73" s="74" t="s">
        <v>49</v>
      </c>
      <c r="L73" s="172">
        <v>519859</v>
      </c>
      <c r="M73" s="199" t="str">
        <f>VLOOKUP(L73,Table2[#All],2,TRUE)</f>
        <v>AreaE</v>
      </c>
      <c r="N73" s="76">
        <v>358.7</v>
      </c>
      <c r="O73" s="164" t="str">
        <f>VLOOKUP(N73,Table1[#All],2,TRUE)</f>
        <v>BedC</v>
      </c>
      <c r="P73" s="76">
        <v>1</v>
      </c>
      <c r="Q73" s="74" t="s">
        <v>50</v>
      </c>
      <c r="R73" s="74" t="s">
        <v>47</v>
      </c>
      <c r="S73" s="74" t="s">
        <v>47</v>
      </c>
      <c r="T73" s="76">
        <v>16438616.199999999</v>
      </c>
      <c r="U73" s="208">
        <v>-345701.69999999925</v>
      </c>
      <c r="V73" s="74" t="s">
        <v>47</v>
      </c>
      <c r="W73" s="76">
        <v>16438620</v>
      </c>
      <c r="X73" s="76">
        <v>953175.88100000005</v>
      </c>
      <c r="Y73" s="208">
        <v>-479823.59380000003</v>
      </c>
      <c r="Z73" s="74" t="s">
        <v>47</v>
      </c>
      <c r="AA73" s="76">
        <v>24</v>
      </c>
      <c r="AB73" s="76">
        <v>291.2</v>
      </c>
      <c r="AC73" s="76">
        <v>151406153.5</v>
      </c>
      <c r="AD73" s="200">
        <v>-0.48082791096779781</v>
      </c>
      <c r="AE73" s="76">
        <v>150789378.30000001</v>
      </c>
      <c r="AF73" s="76">
        <v>289.3</v>
      </c>
      <c r="AG73" s="200">
        <v>-2.6250443419652481E-2</v>
      </c>
      <c r="AH73" s="74" t="s">
        <v>47</v>
      </c>
      <c r="AI73" s="74" t="s">
        <v>47</v>
      </c>
      <c r="AJ73" s="74" t="s">
        <v>47</v>
      </c>
      <c r="AK73" s="74" t="s">
        <v>47</v>
      </c>
      <c r="AL73" s="74" t="s">
        <v>47</v>
      </c>
      <c r="AM73" s="74" t="s">
        <v>47</v>
      </c>
      <c r="AN73" s="76">
        <v>0</v>
      </c>
      <c r="AO73" s="76">
        <v>0</v>
      </c>
      <c r="AP73" s="76">
        <v>0</v>
      </c>
      <c r="AQ73" s="76">
        <v>0</v>
      </c>
      <c r="AR73" s="76">
        <v>10745.2</v>
      </c>
      <c r="AS73" s="76">
        <v>5062.8</v>
      </c>
      <c r="AT73" s="76">
        <v>5682.4</v>
      </c>
      <c r="AU73" s="76">
        <v>10745.2</v>
      </c>
      <c r="AV73" s="74" t="s">
        <v>51</v>
      </c>
      <c r="AW73" s="165" t="str">
        <f>VLOOKUP(AV73,Table3[#All],2,FALSE)</f>
        <v>Region2</v>
      </c>
      <c r="AX73" s="161" t="str">
        <f>IF(Key!$B$1&gt;0,CONCATENATE(O73,AW73),CONCATENATE(M73,AW73))</f>
        <v>AreaERegion2</v>
      </c>
    </row>
    <row r="74" spans="1:50" s="126" customFormat="1" ht="29.5" thickBot="1">
      <c r="A74" s="96" t="s">
        <v>176</v>
      </c>
      <c r="B74" s="97" t="s">
        <v>177</v>
      </c>
      <c r="C74" s="97" t="s">
        <v>44</v>
      </c>
      <c r="D74" s="98">
        <v>42004</v>
      </c>
      <c r="E74" s="97" t="s">
        <v>178</v>
      </c>
      <c r="F74" s="97" t="s">
        <v>179</v>
      </c>
      <c r="G74" s="99">
        <v>1</v>
      </c>
      <c r="H74" s="97" t="s">
        <v>180</v>
      </c>
      <c r="I74" s="99">
        <v>100</v>
      </c>
      <c r="J74" s="97" t="s">
        <v>49</v>
      </c>
      <c r="K74" s="97" t="s">
        <v>49</v>
      </c>
      <c r="L74" s="180">
        <v>506619</v>
      </c>
      <c r="M74" s="199" t="str">
        <f>VLOOKUP(L74,Table2[#All],2,TRUE)</f>
        <v>AreaE</v>
      </c>
      <c r="N74" s="99">
        <v>386.8</v>
      </c>
      <c r="O74" s="164" t="str">
        <f>VLOOKUP(N74,Table1[#All],2,TRUE)</f>
        <v>BedC</v>
      </c>
      <c r="P74" s="99">
        <v>3</v>
      </c>
      <c r="Q74" s="97" t="s">
        <v>50</v>
      </c>
      <c r="R74" s="97" t="s">
        <v>47</v>
      </c>
      <c r="S74" s="97" t="s">
        <v>47</v>
      </c>
      <c r="T74" s="99">
        <v>17506645.899999999</v>
      </c>
      <c r="U74" s="208">
        <v>898823.30000000075</v>
      </c>
      <c r="V74" s="97" t="s">
        <v>47</v>
      </c>
      <c r="W74" s="99">
        <v>17506650</v>
      </c>
      <c r="X74" s="99">
        <v>701047.01699999999</v>
      </c>
      <c r="Y74" s="208">
        <v>107407.15800000005</v>
      </c>
      <c r="Z74" s="97" t="s">
        <v>47</v>
      </c>
      <c r="AA74" s="99">
        <v>45</v>
      </c>
      <c r="AB74" s="99">
        <v>256.3</v>
      </c>
      <c r="AC74" s="99">
        <v>129837384.8</v>
      </c>
      <c r="AD74" s="200">
        <v>9.6122470943904664E-2</v>
      </c>
      <c r="AE74" s="99">
        <v>130863870.2</v>
      </c>
      <c r="AF74" s="99">
        <v>255.5</v>
      </c>
      <c r="AG74" s="200">
        <v>0.10913528591352863</v>
      </c>
      <c r="AH74" s="97" t="s">
        <v>47</v>
      </c>
      <c r="AI74" s="97" t="s">
        <v>47</v>
      </c>
      <c r="AJ74" s="99">
        <v>1760010.26</v>
      </c>
      <c r="AK74" s="99">
        <v>3.47</v>
      </c>
      <c r="AL74" s="97" t="s">
        <v>47</v>
      </c>
      <c r="AM74" s="97" t="s">
        <v>47</v>
      </c>
      <c r="AN74" s="99">
        <v>0</v>
      </c>
      <c r="AO74" s="99">
        <v>0</v>
      </c>
      <c r="AP74" s="99">
        <v>0</v>
      </c>
      <c r="AQ74" s="99">
        <v>0</v>
      </c>
      <c r="AR74" s="99">
        <v>13661</v>
      </c>
      <c r="AS74" s="99">
        <v>3723.6</v>
      </c>
      <c r="AT74" s="99">
        <v>9937.4</v>
      </c>
      <c r="AU74" s="99">
        <v>13661</v>
      </c>
      <c r="AV74" s="97" t="s">
        <v>51</v>
      </c>
      <c r="AW74" s="165" t="str">
        <f>VLOOKUP(AV74,Table3[#All],2,FALSE)</f>
        <v>Region2</v>
      </c>
      <c r="AX74" s="161" t="str">
        <f>IF(Key!$B$1&gt;0,CONCATENATE(O74,AW74),CONCATENATE(M74,AW74))</f>
        <v>AreaERegion2</v>
      </c>
    </row>
    <row r="75" spans="1:50" s="126" customFormat="1" ht="29">
      <c r="A75" s="73" t="s">
        <v>102</v>
      </c>
      <c r="B75" s="74" t="s">
        <v>103</v>
      </c>
      <c r="C75" s="74" t="s">
        <v>44</v>
      </c>
      <c r="D75" s="75">
        <v>42735</v>
      </c>
      <c r="E75" s="74" t="s">
        <v>104</v>
      </c>
      <c r="F75" s="74" t="s">
        <v>105</v>
      </c>
      <c r="G75" s="76">
        <v>2</v>
      </c>
      <c r="H75" s="74" t="s">
        <v>106</v>
      </c>
      <c r="I75" s="76">
        <v>100</v>
      </c>
      <c r="J75" s="74" t="s">
        <v>49</v>
      </c>
      <c r="K75" s="74" t="s">
        <v>49</v>
      </c>
      <c r="L75" s="172">
        <v>506495</v>
      </c>
      <c r="M75" s="199" t="str">
        <f>VLOOKUP(L75,Table2[#All],2,TRUE)</f>
        <v>AreaE</v>
      </c>
      <c r="N75" s="76">
        <v>235</v>
      </c>
      <c r="O75" s="164" t="str">
        <f>VLOOKUP(N75,Table1[#All],2,TRUE)</f>
        <v>BedB</v>
      </c>
      <c r="P75" s="76">
        <v>1</v>
      </c>
      <c r="Q75" s="74" t="s">
        <v>50</v>
      </c>
      <c r="R75" s="74" t="s">
        <v>47</v>
      </c>
      <c r="S75" s="74" t="s">
        <v>47</v>
      </c>
      <c r="T75" s="76">
        <v>15928933.199999999</v>
      </c>
      <c r="U75" s="208">
        <v>1017606</v>
      </c>
      <c r="V75" s="74" t="s">
        <v>47</v>
      </c>
      <c r="W75" s="76">
        <v>15928940</v>
      </c>
      <c r="X75" s="76">
        <v>518920.48196</v>
      </c>
      <c r="Y75" s="208">
        <v>88444.715599999996</v>
      </c>
      <c r="Z75" s="74" t="s">
        <v>47</v>
      </c>
      <c r="AA75" s="76">
        <v>67</v>
      </c>
      <c r="AB75" s="76">
        <v>209.8</v>
      </c>
      <c r="AC75" s="76">
        <v>106241574.8</v>
      </c>
      <c r="AD75" s="200">
        <v>0.12842291209397483</v>
      </c>
      <c r="AE75" s="76">
        <v>109524551.40000001</v>
      </c>
      <c r="AF75" s="76">
        <v>212.2</v>
      </c>
      <c r="AG75" s="200">
        <v>0.14227970897332262</v>
      </c>
      <c r="AH75" s="74" t="s">
        <v>47</v>
      </c>
      <c r="AI75" s="76">
        <v>30179.8</v>
      </c>
      <c r="AJ75" s="76">
        <v>1365856.68</v>
      </c>
      <c r="AK75" s="76">
        <v>2.7</v>
      </c>
      <c r="AL75" s="76">
        <v>280682.90999999997</v>
      </c>
      <c r="AM75" s="76">
        <v>0.55000000000000004</v>
      </c>
      <c r="AN75" s="76">
        <v>0</v>
      </c>
      <c r="AO75" s="76">
        <v>0</v>
      </c>
      <c r="AP75" s="76">
        <v>0</v>
      </c>
      <c r="AQ75" s="76">
        <v>0</v>
      </c>
      <c r="AR75" s="76">
        <v>8609.4</v>
      </c>
      <c r="AS75" s="76">
        <v>2756.2</v>
      </c>
      <c r="AT75" s="76">
        <v>5853.2</v>
      </c>
      <c r="AU75" s="76">
        <v>8609.4</v>
      </c>
      <c r="AV75" s="74" t="s">
        <v>107</v>
      </c>
      <c r="AW75" s="165" t="str">
        <f>VLOOKUP(AV75,Table3[#All],2,FALSE)</f>
        <v>Region3</v>
      </c>
      <c r="AX75" s="161" t="str">
        <f>IF(Key!$B$1&gt;0,CONCATENATE(O75,AW75),CONCATENATE(M75,AW75))</f>
        <v>AreaERegion3</v>
      </c>
    </row>
    <row r="76" spans="1:50" s="127" customFormat="1" ht="29">
      <c r="A76" s="114" t="s">
        <v>102</v>
      </c>
      <c r="B76" s="17" t="s">
        <v>103</v>
      </c>
      <c r="C76" s="17" t="s">
        <v>44</v>
      </c>
      <c r="D76" s="18">
        <v>42369</v>
      </c>
      <c r="E76" s="17" t="s">
        <v>104</v>
      </c>
      <c r="F76" s="17" t="s">
        <v>105</v>
      </c>
      <c r="G76" s="19">
        <v>2</v>
      </c>
      <c r="H76" s="17" t="s">
        <v>106</v>
      </c>
      <c r="I76" s="19">
        <v>100</v>
      </c>
      <c r="J76" s="17" t="s">
        <v>49</v>
      </c>
      <c r="K76" s="17" t="s">
        <v>49</v>
      </c>
      <c r="L76" s="187">
        <v>506495</v>
      </c>
      <c r="M76" s="199" t="str">
        <f>VLOOKUP(L76,Table2[#All],2,TRUE)</f>
        <v>AreaE</v>
      </c>
      <c r="N76" s="19">
        <v>235</v>
      </c>
      <c r="O76" s="164" t="str">
        <f>VLOOKUP(N76,Table1[#All],2,TRUE)</f>
        <v>BedB</v>
      </c>
      <c r="P76" s="19">
        <v>1</v>
      </c>
      <c r="Q76" s="17" t="s">
        <v>50</v>
      </c>
      <c r="R76" s="17" t="s">
        <v>47</v>
      </c>
      <c r="S76" s="17" t="s">
        <v>47</v>
      </c>
      <c r="T76" s="19">
        <v>16946539.199999999</v>
      </c>
      <c r="U76" s="209">
        <v>3064020.1999999993</v>
      </c>
      <c r="V76" s="17" t="s">
        <v>47</v>
      </c>
      <c r="W76" s="19">
        <v>16946540</v>
      </c>
      <c r="X76" s="19">
        <v>607365.19756</v>
      </c>
      <c r="Y76" s="209">
        <v>260918.14125999995</v>
      </c>
      <c r="Z76" s="17" t="s">
        <v>47</v>
      </c>
      <c r="AA76" s="19">
        <v>43</v>
      </c>
      <c r="AB76" s="19">
        <v>240.7</v>
      </c>
      <c r="AC76" s="19">
        <v>121895786.7</v>
      </c>
      <c r="AD76" s="201">
        <v>0.21736011673004133</v>
      </c>
      <c r="AE76" s="19">
        <v>127424482.2</v>
      </c>
      <c r="AF76" s="19">
        <v>247.4</v>
      </c>
      <c r="AG76" s="201">
        <v>0.19701395650762743</v>
      </c>
      <c r="AH76" s="17" t="s">
        <v>47</v>
      </c>
      <c r="AI76" s="19">
        <v>31731.599999999999</v>
      </c>
      <c r="AJ76" s="19">
        <v>1509575.47</v>
      </c>
      <c r="AK76" s="19">
        <v>2.98</v>
      </c>
      <c r="AL76" s="19">
        <v>286142.01</v>
      </c>
      <c r="AM76" s="19">
        <v>0.56000000000000005</v>
      </c>
      <c r="AN76" s="19">
        <v>0</v>
      </c>
      <c r="AO76" s="19">
        <v>0</v>
      </c>
      <c r="AP76" s="19">
        <v>0</v>
      </c>
      <c r="AQ76" s="19">
        <v>0</v>
      </c>
      <c r="AR76" s="19">
        <v>9700.7999999999993</v>
      </c>
      <c r="AS76" s="19">
        <v>3473.7</v>
      </c>
      <c r="AT76" s="19">
        <v>6227.1</v>
      </c>
      <c r="AU76" s="19">
        <v>9700.7999999999993</v>
      </c>
      <c r="AV76" s="17" t="s">
        <v>107</v>
      </c>
      <c r="AW76" s="165" t="str">
        <f>VLOOKUP(AV76,Table3[#All],2,FALSE)</f>
        <v>Region3</v>
      </c>
      <c r="AX76" s="161" t="str">
        <f>IF(Key!$B$1&gt;0,CONCATENATE(O76,AW76),CONCATENATE(M76,AW76))</f>
        <v>AreaERegion3</v>
      </c>
    </row>
    <row r="77" spans="1:50" s="127" customFormat="1" ht="29.5" thickBot="1">
      <c r="A77" s="116" t="s">
        <v>102</v>
      </c>
      <c r="B77" s="20" t="s">
        <v>103</v>
      </c>
      <c r="C77" s="20" t="s">
        <v>44</v>
      </c>
      <c r="D77" s="21">
        <v>42004</v>
      </c>
      <c r="E77" s="20" t="s">
        <v>104</v>
      </c>
      <c r="F77" s="20" t="s">
        <v>105</v>
      </c>
      <c r="G77" s="22">
        <v>2</v>
      </c>
      <c r="H77" s="20" t="s">
        <v>106</v>
      </c>
      <c r="I77" s="22">
        <v>100</v>
      </c>
      <c r="J77" s="20" t="s">
        <v>49</v>
      </c>
      <c r="K77" s="20" t="s">
        <v>49</v>
      </c>
      <c r="L77" s="188">
        <v>506495</v>
      </c>
      <c r="M77" s="199" t="str">
        <f>VLOOKUP(L77,Table2[#All],2,TRUE)</f>
        <v>AreaE</v>
      </c>
      <c r="N77" s="22">
        <v>235</v>
      </c>
      <c r="O77" s="164" t="str">
        <f>VLOOKUP(N77,Table1[#All],2,TRUE)</f>
        <v>BedB</v>
      </c>
      <c r="P77" s="22">
        <v>1</v>
      </c>
      <c r="Q77" s="20" t="s">
        <v>50</v>
      </c>
      <c r="R77" s="20" t="s">
        <v>47</v>
      </c>
      <c r="S77" s="20" t="s">
        <v>47</v>
      </c>
      <c r="T77" s="22">
        <v>20010559.399999999</v>
      </c>
      <c r="U77" s="209">
        <v>2446218.200000003</v>
      </c>
      <c r="V77" s="20" t="s">
        <v>47</v>
      </c>
      <c r="W77" s="22">
        <v>20010560</v>
      </c>
      <c r="X77" s="22">
        <v>868283.33881999995</v>
      </c>
      <c r="Y77" s="209">
        <v>169535.29925000004</v>
      </c>
      <c r="Z77" s="20" t="s">
        <v>47</v>
      </c>
      <c r="AA77" s="22">
        <v>8</v>
      </c>
      <c r="AB77" s="22">
        <v>307.5</v>
      </c>
      <c r="AC77" s="22">
        <v>155749520.69999999</v>
      </c>
      <c r="AD77" s="201">
        <v>0.14226060402164414</v>
      </c>
      <c r="AE77" s="22">
        <v>165054298</v>
      </c>
      <c r="AF77" s="22">
        <v>308.10000000000002</v>
      </c>
      <c r="AG77" s="201">
        <v>0.14345287739783144</v>
      </c>
      <c r="AH77" s="20" t="s">
        <v>47</v>
      </c>
      <c r="AI77" s="22">
        <v>35968.800000000003</v>
      </c>
      <c r="AJ77" s="22">
        <v>1851659.82</v>
      </c>
      <c r="AK77" s="22">
        <v>3.66</v>
      </c>
      <c r="AL77" s="22">
        <v>363539.5</v>
      </c>
      <c r="AM77" s="22">
        <v>0.72</v>
      </c>
      <c r="AN77" s="22">
        <v>0</v>
      </c>
      <c r="AO77" s="22">
        <v>0</v>
      </c>
      <c r="AP77" s="22">
        <v>0</v>
      </c>
      <c r="AQ77" s="22">
        <v>0</v>
      </c>
      <c r="AR77" s="22">
        <v>12012.7</v>
      </c>
      <c r="AS77" s="22">
        <v>4659.7</v>
      </c>
      <c r="AT77" s="22">
        <v>7353</v>
      </c>
      <c r="AU77" s="22">
        <v>12012.7</v>
      </c>
      <c r="AV77" s="20" t="s">
        <v>107</v>
      </c>
      <c r="AW77" s="165" t="str">
        <f>VLOOKUP(AV77,Table3[#All],2,FALSE)</f>
        <v>Region3</v>
      </c>
      <c r="AX77" s="161" t="str">
        <f>IF(Key!$B$1&gt;0,CONCATENATE(O77,AW77),CONCATENATE(M77,AW77))</f>
        <v>AreaERegion3</v>
      </c>
    </row>
    <row r="78" spans="1:50" s="126" customFormat="1" ht="29">
      <c r="A78" s="128" t="s">
        <v>158</v>
      </c>
      <c r="B78" s="129" t="s">
        <v>159</v>
      </c>
      <c r="C78" s="129" t="s">
        <v>44</v>
      </c>
      <c r="D78" s="130">
        <v>42369</v>
      </c>
      <c r="E78" s="129" t="s">
        <v>160</v>
      </c>
      <c r="F78" s="129" t="s">
        <v>161</v>
      </c>
      <c r="G78" s="131">
        <v>2</v>
      </c>
      <c r="H78" s="129" t="s">
        <v>75</v>
      </c>
      <c r="I78" s="131">
        <v>100</v>
      </c>
      <c r="J78" s="129" t="s">
        <v>49</v>
      </c>
      <c r="K78" s="129" t="s">
        <v>49</v>
      </c>
      <c r="L78" s="190">
        <v>178770</v>
      </c>
      <c r="M78" s="199" t="str">
        <f>VLOOKUP(L78,Table2[#All],2,TRUE)</f>
        <v>AreaC</v>
      </c>
      <c r="N78" s="131">
        <v>101</v>
      </c>
      <c r="O78" s="164" t="str">
        <f>VLOOKUP(N78,Table1[#All],2,TRUE)</f>
        <v>BedB</v>
      </c>
      <c r="P78" s="131">
        <v>1</v>
      </c>
      <c r="Q78" s="129" t="s">
        <v>50</v>
      </c>
      <c r="R78" s="129" t="s">
        <v>47</v>
      </c>
      <c r="S78" s="129" t="s">
        <v>47</v>
      </c>
      <c r="T78" s="131">
        <v>5783992.4000000004</v>
      </c>
      <c r="U78" s="208">
        <v>435176.79999999981</v>
      </c>
      <c r="V78" s="129" t="s">
        <v>47</v>
      </c>
      <c r="W78" s="131">
        <v>5783993</v>
      </c>
      <c r="X78" s="131">
        <v>178491.29319999999</v>
      </c>
      <c r="Y78" s="208">
        <v>34308.708900000027</v>
      </c>
      <c r="Z78" s="129" t="s">
        <v>47</v>
      </c>
      <c r="AA78" s="131">
        <v>76</v>
      </c>
      <c r="AB78" s="131">
        <v>211.8</v>
      </c>
      <c r="AC78" s="131">
        <v>37855685.299999997</v>
      </c>
      <c r="AD78" s="200">
        <v>0.11050335932750037</v>
      </c>
      <c r="AE78" s="131">
        <v>39251726.799999997</v>
      </c>
      <c r="AF78" s="131">
        <v>210.9</v>
      </c>
      <c r="AG78" s="200">
        <v>0.10975094976783453</v>
      </c>
      <c r="AH78" s="129" t="s">
        <v>47</v>
      </c>
      <c r="AI78" s="131">
        <v>17148.7</v>
      </c>
      <c r="AJ78" s="131">
        <v>438304</v>
      </c>
      <c r="AK78" s="131">
        <v>2.4500000000000002</v>
      </c>
      <c r="AL78" s="131">
        <v>316683.27</v>
      </c>
      <c r="AM78" s="131">
        <v>1.77</v>
      </c>
      <c r="AN78" s="131">
        <v>0</v>
      </c>
      <c r="AO78" s="131">
        <v>0</v>
      </c>
      <c r="AP78" s="131">
        <v>0</v>
      </c>
      <c r="AQ78" s="131">
        <v>0</v>
      </c>
      <c r="AR78" s="131">
        <v>3093.6</v>
      </c>
      <c r="AS78" s="131">
        <v>968.2</v>
      </c>
      <c r="AT78" s="131">
        <v>2125.4</v>
      </c>
      <c r="AU78" s="131">
        <v>3093.6</v>
      </c>
      <c r="AV78" s="129" t="s">
        <v>107</v>
      </c>
      <c r="AW78" s="165" t="str">
        <f>VLOOKUP(AV78,Table3[#All],2,FALSE)</f>
        <v>Region3</v>
      </c>
      <c r="AX78" s="161" t="str">
        <f>IF(Key!$B$1&gt;0,CONCATENATE(O78,AW78),CONCATENATE(M78,AW78))</f>
        <v>AreaCRegion3</v>
      </c>
    </row>
    <row r="79" spans="1:50" s="127" customFormat="1" ht="29.5" thickBot="1">
      <c r="A79" s="116" t="s">
        <v>158</v>
      </c>
      <c r="B79" s="20" t="s">
        <v>159</v>
      </c>
      <c r="C79" s="20" t="s">
        <v>44</v>
      </c>
      <c r="D79" s="21">
        <v>42004</v>
      </c>
      <c r="E79" s="20" t="s">
        <v>160</v>
      </c>
      <c r="F79" s="20" t="s">
        <v>161</v>
      </c>
      <c r="G79" s="22">
        <v>2</v>
      </c>
      <c r="H79" s="20" t="s">
        <v>75</v>
      </c>
      <c r="I79" s="22">
        <v>100</v>
      </c>
      <c r="J79" s="20" t="s">
        <v>49</v>
      </c>
      <c r="K79" s="20" t="s">
        <v>49</v>
      </c>
      <c r="L79" s="188">
        <v>178770</v>
      </c>
      <c r="M79" s="199" t="str">
        <f>VLOOKUP(L79,Table2[#All],2,TRUE)</f>
        <v>AreaC</v>
      </c>
      <c r="N79" s="22">
        <v>101</v>
      </c>
      <c r="O79" s="164" t="str">
        <f>VLOOKUP(N79,Table1[#All],2,TRUE)</f>
        <v>BedB</v>
      </c>
      <c r="P79" s="22">
        <v>1</v>
      </c>
      <c r="Q79" s="20" t="s">
        <v>50</v>
      </c>
      <c r="R79" s="20" t="s">
        <v>47</v>
      </c>
      <c r="S79" s="20" t="s">
        <v>47</v>
      </c>
      <c r="T79" s="22">
        <v>6219169.2000000002</v>
      </c>
      <c r="U79" s="209">
        <v>304153.20000000019</v>
      </c>
      <c r="V79" s="20" t="s">
        <v>47</v>
      </c>
      <c r="W79" s="22">
        <v>6219170</v>
      </c>
      <c r="X79" s="22">
        <v>212800.00210000001</v>
      </c>
      <c r="Y79" s="209">
        <v>57740.004600000015</v>
      </c>
      <c r="Z79" s="20" t="s">
        <v>47</v>
      </c>
      <c r="AA79" s="22">
        <v>56</v>
      </c>
      <c r="AB79" s="22">
        <v>238.1</v>
      </c>
      <c r="AC79" s="22">
        <v>42558547.799999997</v>
      </c>
      <c r="AD79" s="201">
        <v>0.13694616494691683</v>
      </c>
      <c r="AE79" s="22">
        <v>44642940.700000003</v>
      </c>
      <c r="AF79" s="22">
        <v>236.9</v>
      </c>
      <c r="AG79" s="201">
        <v>0.14259862468331524</v>
      </c>
      <c r="AH79" s="20" t="s">
        <v>47</v>
      </c>
      <c r="AI79" s="22">
        <v>14024.3</v>
      </c>
      <c r="AJ79" s="22">
        <v>535568.43999999994</v>
      </c>
      <c r="AK79" s="22">
        <v>3</v>
      </c>
      <c r="AL79" s="22">
        <v>290087.7</v>
      </c>
      <c r="AM79" s="22">
        <v>1.62</v>
      </c>
      <c r="AN79" s="22">
        <v>0</v>
      </c>
      <c r="AO79" s="22">
        <v>0</v>
      </c>
      <c r="AP79" s="22">
        <v>0</v>
      </c>
      <c r="AQ79" s="22">
        <v>0</v>
      </c>
      <c r="AR79" s="22">
        <v>3419.9</v>
      </c>
      <c r="AS79" s="22">
        <v>1134.5999999999999</v>
      </c>
      <c r="AT79" s="22">
        <v>2285.3000000000002</v>
      </c>
      <c r="AU79" s="22">
        <v>3419.9</v>
      </c>
      <c r="AV79" s="20" t="s">
        <v>107</v>
      </c>
      <c r="AW79" s="165" t="str">
        <f>VLOOKUP(AV79,Table3[#All],2,FALSE)</f>
        <v>Region3</v>
      </c>
      <c r="AX79" s="161" t="str">
        <f>IF(Key!$B$1&gt;0,CONCATENATE(O79,AW79),CONCATENATE(M79,AW79))</f>
        <v>AreaCRegion3</v>
      </c>
    </row>
    <row r="80" spans="1:50" s="126" customFormat="1" ht="29.5" thickBot="1">
      <c r="A80" s="96" t="s">
        <v>172</v>
      </c>
      <c r="B80" s="97" t="s">
        <v>173</v>
      </c>
      <c r="C80" s="97" t="s">
        <v>44</v>
      </c>
      <c r="D80" s="98">
        <v>42004</v>
      </c>
      <c r="E80" s="97" t="s">
        <v>174</v>
      </c>
      <c r="F80" s="97" t="s">
        <v>175</v>
      </c>
      <c r="G80" s="99">
        <v>1</v>
      </c>
      <c r="H80" s="97" t="s">
        <v>80</v>
      </c>
      <c r="I80" s="99">
        <v>100</v>
      </c>
      <c r="J80" s="97" t="s">
        <v>49</v>
      </c>
      <c r="K80" s="97" t="s">
        <v>49</v>
      </c>
      <c r="L80" s="180">
        <v>325273</v>
      </c>
      <c r="M80" s="199" t="str">
        <f>VLOOKUP(L80,Table2[#All],2,TRUE)</f>
        <v>AreaD</v>
      </c>
      <c r="N80" s="99">
        <v>181</v>
      </c>
      <c r="O80" s="164" t="str">
        <f>VLOOKUP(N80,Table1[#All],2,TRUE)</f>
        <v>BedB</v>
      </c>
      <c r="P80" s="99">
        <v>1</v>
      </c>
      <c r="Q80" s="97" t="s">
        <v>50</v>
      </c>
      <c r="R80" s="97" t="s">
        <v>47</v>
      </c>
      <c r="S80" s="97" t="s">
        <v>47</v>
      </c>
      <c r="T80" s="99">
        <v>12405431.199999999</v>
      </c>
      <c r="U80" s="208">
        <v>182017.10000000149</v>
      </c>
      <c r="V80" s="97" t="s">
        <v>47</v>
      </c>
      <c r="W80" s="99">
        <v>12405430</v>
      </c>
      <c r="X80" s="99">
        <v>535169.98</v>
      </c>
      <c r="Y80" s="208">
        <v>58340.021000000066</v>
      </c>
      <c r="Z80" s="97" t="s">
        <v>47</v>
      </c>
      <c r="AA80" s="99">
        <v>10</v>
      </c>
      <c r="AB80" s="99">
        <v>301.8</v>
      </c>
      <c r="AC80" s="99">
        <v>98164942.200000003</v>
      </c>
      <c r="AD80" s="200">
        <v>4.0415072314368562E-2</v>
      </c>
      <c r="AE80" s="99">
        <v>100152382.90000001</v>
      </c>
      <c r="AF80" s="99">
        <v>301.10000000000002</v>
      </c>
      <c r="AG80" s="200">
        <v>4.1998090995863789E-2</v>
      </c>
      <c r="AH80" s="97" t="s">
        <v>47</v>
      </c>
      <c r="AI80" s="99">
        <v>9222.2999999999993</v>
      </c>
      <c r="AJ80" s="99">
        <v>1402459.14</v>
      </c>
      <c r="AK80" s="99">
        <v>4.3099999999999996</v>
      </c>
      <c r="AL80" s="99">
        <v>25126.5</v>
      </c>
      <c r="AM80" s="99">
        <v>0.08</v>
      </c>
      <c r="AN80" s="99">
        <v>0</v>
      </c>
      <c r="AO80" s="99">
        <v>0</v>
      </c>
      <c r="AP80" s="99">
        <v>0</v>
      </c>
      <c r="AQ80" s="99">
        <v>0</v>
      </c>
      <c r="AR80" s="99">
        <v>7573.2</v>
      </c>
      <c r="AS80" s="99">
        <v>3014.8</v>
      </c>
      <c r="AT80" s="99">
        <v>4558.3999999999996</v>
      </c>
      <c r="AU80" s="99">
        <v>7573.2</v>
      </c>
      <c r="AV80" s="97" t="s">
        <v>107</v>
      </c>
      <c r="AW80" s="165" t="str">
        <f>VLOOKUP(AV80,Table3[#All],2,FALSE)</f>
        <v>Region3</v>
      </c>
      <c r="AX80" s="161" t="str">
        <f>IF(Key!$B$1&gt;0,CONCATENATE(O80,AW80),CONCATENATE(M80,AW80))</f>
        <v>AreaDRegion3</v>
      </c>
    </row>
    <row r="81" spans="1:50" s="126" customFormat="1" ht="29.5" thickBot="1">
      <c r="A81" s="82" t="s">
        <v>377</v>
      </c>
      <c r="B81" s="83" t="s">
        <v>378</v>
      </c>
      <c r="C81" s="83" t="s">
        <v>44</v>
      </c>
      <c r="D81" s="84">
        <v>43100</v>
      </c>
      <c r="E81" s="83" t="s">
        <v>379</v>
      </c>
      <c r="F81" s="83" t="s">
        <v>380</v>
      </c>
      <c r="G81" s="85">
        <v>6</v>
      </c>
      <c r="H81" s="83" t="s">
        <v>62</v>
      </c>
      <c r="I81" s="85">
        <v>95</v>
      </c>
      <c r="J81" s="83" t="s">
        <v>47</v>
      </c>
      <c r="K81" s="83" t="s">
        <v>47</v>
      </c>
      <c r="L81" s="174">
        <v>157140</v>
      </c>
      <c r="M81" s="199" t="str">
        <f>VLOOKUP(L81,Table2[#All],2,TRUE)</f>
        <v>AreaC</v>
      </c>
      <c r="N81" s="85">
        <v>140.22</v>
      </c>
      <c r="O81" s="164" t="str">
        <f>VLOOKUP(N81,Table1[#All],2,TRUE)</f>
        <v>BedB</v>
      </c>
      <c r="P81" s="85">
        <v>1</v>
      </c>
      <c r="Q81" s="83" t="s">
        <v>50</v>
      </c>
      <c r="R81" s="83" t="s">
        <v>47</v>
      </c>
      <c r="S81" s="83" t="s">
        <v>47</v>
      </c>
      <c r="T81" s="85">
        <v>6514192.0999999996</v>
      </c>
      <c r="U81" s="208">
        <v>225790.40000000037</v>
      </c>
      <c r="V81" s="83" t="s">
        <v>47</v>
      </c>
      <c r="W81" s="85">
        <v>6514193</v>
      </c>
      <c r="X81" s="85">
        <v>137399.9993</v>
      </c>
      <c r="Y81" s="208">
        <v>20059.999799999991</v>
      </c>
      <c r="Z81" s="83" t="s">
        <v>47</v>
      </c>
      <c r="AA81" s="85">
        <v>33</v>
      </c>
      <c r="AB81" s="85">
        <v>228.9</v>
      </c>
      <c r="AC81" s="85">
        <v>35966426.100000001</v>
      </c>
      <c r="AD81" s="200">
        <v>7.1662227422967531E-2</v>
      </c>
      <c r="AE81" s="85">
        <v>35686329.200000003</v>
      </c>
      <c r="AF81" s="85">
        <v>232.2</v>
      </c>
      <c r="AG81" s="200">
        <v>7.0456365092073744E-2</v>
      </c>
      <c r="AH81" s="83" t="s">
        <v>47</v>
      </c>
      <c r="AI81" s="85">
        <v>14119.7</v>
      </c>
      <c r="AJ81" s="85">
        <v>499591.05</v>
      </c>
      <c r="AK81" s="85">
        <v>3.18</v>
      </c>
      <c r="AL81" s="85">
        <v>50229.05</v>
      </c>
      <c r="AM81" s="85">
        <v>0.32</v>
      </c>
      <c r="AN81" s="85">
        <v>0</v>
      </c>
      <c r="AO81" s="85">
        <v>0</v>
      </c>
      <c r="AP81" s="85">
        <v>0</v>
      </c>
      <c r="AQ81" s="85">
        <v>0</v>
      </c>
      <c r="AR81" s="85">
        <v>3726.1</v>
      </c>
      <c r="AS81" s="85">
        <v>729.8</v>
      </c>
      <c r="AT81" s="85">
        <v>2996.3</v>
      </c>
      <c r="AU81" s="85">
        <v>3726.1</v>
      </c>
      <c r="AV81" s="83" t="s">
        <v>57</v>
      </c>
      <c r="AW81" s="165" t="str">
        <f>VLOOKUP(AV81,Table3[#All],2,FALSE)</f>
        <v>Region7</v>
      </c>
      <c r="AX81" s="161" t="str">
        <f>IF(Key!$B$1&gt;0,CONCATENATE(O81,AW81),CONCATENATE(M81,AW81))</f>
        <v>AreaCRegion7</v>
      </c>
    </row>
    <row r="82" spans="1:50" s="126" customFormat="1" ht="29.5" thickBot="1">
      <c r="A82" s="82" t="s">
        <v>373</v>
      </c>
      <c r="B82" s="83" t="s">
        <v>374</v>
      </c>
      <c r="C82" s="83" t="s">
        <v>44</v>
      </c>
      <c r="D82" s="84">
        <v>43100</v>
      </c>
      <c r="E82" s="83" t="s">
        <v>375</v>
      </c>
      <c r="F82" s="83" t="s">
        <v>376</v>
      </c>
      <c r="G82" s="85">
        <v>1</v>
      </c>
      <c r="H82" s="83" t="s">
        <v>62</v>
      </c>
      <c r="I82" s="85">
        <v>95</v>
      </c>
      <c r="J82" s="83" t="s">
        <v>49</v>
      </c>
      <c r="K82" s="83" t="s">
        <v>47</v>
      </c>
      <c r="L82" s="174">
        <v>197220</v>
      </c>
      <c r="M82" s="199" t="str">
        <f>VLOOKUP(L82,Table2[#All],2,TRUE)</f>
        <v>AreaC</v>
      </c>
      <c r="N82" s="85">
        <v>132</v>
      </c>
      <c r="O82" s="164" t="str">
        <f>VLOOKUP(N82,Table1[#All],2,TRUE)</f>
        <v>BedB</v>
      </c>
      <c r="P82" s="85">
        <v>1</v>
      </c>
      <c r="Q82" s="83" t="s">
        <v>50</v>
      </c>
      <c r="R82" s="83" t="s">
        <v>47</v>
      </c>
      <c r="S82" s="83" t="s">
        <v>47</v>
      </c>
      <c r="T82" s="85">
        <v>5090367.4000000004</v>
      </c>
      <c r="U82" s="208">
        <v>705504.19999999925</v>
      </c>
      <c r="V82" s="83" t="s">
        <v>47</v>
      </c>
      <c r="W82" s="85">
        <v>5090368</v>
      </c>
      <c r="X82" s="85">
        <v>326339.99560000002</v>
      </c>
      <c r="Y82" s="208">
        <v>24790.030999999959</v>
      </c>
      <c r="Z82" s="83" t="s">
        <v>47</v>
      </c>
      <c r="AA82" s="85">
        <v>67</v>
      </c>
      <c r="AB82" s="85">
        <v>253.5</v>
      </c>
      <c r="AC82" s="85">
        <v>50002335.100000001</v>
      </c>
      <c r="AD82" s="200">
        <v>8.9020144631703366E-2</v>
      </c>
      <c r="AE82" s="85">
        <v>50024234.399999999</v>
      </c>
      <c r="AF82" s="85">
        <v>252.6</v>
      </c>
      <c r="AG82" s="200">
        <v>8.6437613019891515E-2</v>
      </c>
      <c r="AH82" s="83" t="s">
        <v>47</v>
      </c>
      <c r="AI82" s="85">
        <v>18235.5</v>
      </c>
      <c r="AJ82" s="85">
        <v>494797.44</v>
      </c>
      <c r="AK82" s="85">
        <v>2.5099999999999998</v>
      </c>
      <c r="AL82" s="85">
        <v>60904.93</v>
      </c>
      <c r="AM82" s="85">
        <v>0.31</v>
      </c>
      <c r="AN82" s="85">
        <v>0</v>
      </c>
      <c r="AO82" s="85">
        <v>0</v>
      </c>
      <c r="AP82" s="85">
        <v>0</v>
      </c>
      <c r="AQ82" s="85">
        <v>0</v>
      </c>
      <c r="AR82" s="85">
        <v>4074.7</v>
      </c>
      <c r="AS82" s="85">
        <v>1733.3</v>
      </c>
      <c r="AT82" s="85">
        <v>2341.4</v>
      </c>
      <c r="AU82" s="85">
        <v>4074.7</v>
      </c>
      <c r="AV82" s="83" t="s">
        <v>57</v>
      </c>
      <c r="AW82" s="165" t="str">
        <f>VLOOKUP(AV82,Table3[#All],2,FALSE)</f>
        <v>Region7</v>
      </c>
      <c r="AX82" s="161" t="str">
        <f>IF(Key!$B$1&gt;0,CONCATENATE(O82,AW82),CONCATENATE(M82,AW82))</f>
        <v>AreaCRegion7</v>
      </c>
    </row>
    <row r="83" spans="1:50" s="126" customFormat="1" ht="29.5" thickBot="1">
      <c r="A83" s="82" t="s">
        <v>342</v>
      </c>
      <c r="B83" s="83" t="s">
        <v>343</v>
      </c>
      <c r="C83" s="83" t="s">
        <v>44</v>
      </c>
      <c r="D83" s="84">
        <v>43100</v>
      </c>
      <c r="E83" s="83" t="s">
        <v>344</v>
      </c>
      <c r="F83" s="83" t="s">
        <v>345</v>
      </c>
      <c r="G83" s="85">
        <v>1</v>
      </c>
      <c r="H83" s="83" t="s">
        <v>346</v>
      </c>
      <c r="I83" s="85">
        <v>100</v>
      </c>
      <c r="J83" s="83" t="s">
        <v>49</v>
      </c>
      <c r="K83" s="83" t="s">
        <v>49</v>
      </c>
      <c r="L83" s="174">
        <v>188000</v>
      </c>
      <c r="M83" s="199" t="str">
        <f>VLOOKUP(L83,Table2[#All],2,TRUE)</f>
        <v>AreaC</v>
      </c>
      <c r="N83" s="85">
        <v>100</v>
      </c>
      <c r="O83" s="164" t="str">
        <f>VLOOKUP(N83,Table1[#All],2,TRUE)</f>
        <v>BedB</v>
      </c>
      <c r="P83" s="85">
        <v>1</v>
      </c>
      <c r="Q83" s="83" t="s">
        <v>50</v>
      </c>
      <c r="R83" s="83" t="s">
        <v>47</v>
      </c>
      <c r="S83" s="83" t="s">
        <v>47</v>
      </c>
      <c r="T83" s="85">
        <v>6229859.2999999998</v>
      </c>
      <c r="U83" s="208">
        <v>408020</v>
      </c>
      <c r="V83" s="83" t="s">
        <v>47</v>
      </c>
      <c r="W83" s="85">
        <v>6229860</v>
      </c>
      <c r="X83" s="85">
        <v>179490.00080000001</v>
      </c>
      <c r="Y83" s="208">
        <v>73579.994500000001</v>
      </c>
      <c r="Z83" s="83" t="s">
        <v>47</v>
      </c>
      <c r="AA83" s="85">
        <v>78</v>
      </c>
      <c r="AB83" s="85">
        <v>208.5</v>
      </c>
      <c r="AC83" s="85">
        <v>39205282.600000001</v>
      </c>
      <c r="AD83" s="200">
        <v>0.18246444266234579</v>
      </c>
      <c r="AE83" s="85">
        <v>39157068.299999997</v>
      </c>
      <c r="AF83" s="85">
        <v>206.4</v>
      </c>
      <c r="AG83" s="200">
        <v>0.19090552724421792</v>
      </c>
      <c r="AH83" s="83" t="s">
        <v>47</v>
      </c>
      <c r="AI83" s="83" t="s">
        <v>47</v>
      </c>
      <c r="AJ83" s="85">
        <v>818998.37</v>
      </c>
      <c r="AK83" s="85">
        <v>4.3600000000000003</v>
      </c>
      <c r="AL83" s="83" t="s">
        <v>47</v>
      </c>
      <c r="AM83" s="83" t="s">
        <v>47</v>
      </c>
      <c r="AN83" s="85">
        <v>0</v>
      </c>
      <c r="AO83" s="85">
        <v>0</v>
      </c>
      <c r="AP83" s="85">
        <v>0</v>
      </c>
      <c r="AQ83" s="85">
        <v>0</v>
      </c>
      <c r="AR83" s="85">
        <v>3917.7</v>
      </c>
      <c r="AS83" s="85">
        <v>953.4</v>
      </c>
      <c r="AT83" s="85">
        <v>2964.3</v>
      </c>
      <c r="AU83" s="85">
        <v>3917.7</v>
      </c>
      <c r="AV83" s="83" t="s">
        <v>321</v>
      </c>
      <c r="AW83" s="165" t="str">
        <f>VLOOKUP(AV83,Table3[#All],2,FALSE)</f>
        <v>Region9</v>
      </c>
      <c r="AX83" s="161" t="str">
        <f>IF(Key!$B$1&gt;0,CONCATENATE(O83,AW83),CONCATENATE(M83,AW83))</f>
        <v>AreaCRegion9</v>
      </c>
    </row>
    <row r="84" spans="1:50" s="126" customFormat="1" ht="29.5" thickBot="1">
      <c r="A84" s="73" t="s">
        <v>58</v>
      </c>
      <c r="B84" s="74" t="s">
        <v>59</v>
      </c>
      <c r="C84" s="74" t="s">
        <v>44</v>
      </c>
      <c r="D84" s="75">
        <v>42735</v>
      </c>
      <c r="E84" s="74" t="s">
        <v>60</v>
      </c>
      <c r="F84" s="74" t="s">
        <v>61</v>
      </c>
      <c r="G84" s="76">
        <v>0</v>
      </c>
      <c r="H84" s="74" t="s">
        <v>62</v>
      </c>
      <c r="I84" s="76">
        <v>100</v>
      </c>
      <c r="J84" s="74" t="s">
        <v>49</v>
      </c>
      <c r="K84" s="74" t="s">
        <v>47</v>
      </c>
      <c r="L84" s="172">
        <v>463939</v>
      </c>
      <c r="M84" s="199" t="str">
        <f>VLOOKUP(L84,Table2[#All],2,TRUE)</f>
        <v>AreaD</v>
      </c>
      <c r="N84" s="76">
        <v>310.5</v>
      </c>
      <c r="O84" s="164" t="str">
        <f>VLOOKUP(N84,Table1[#All],2,TRUE)</f>
        <v>BedC</v>
      </c>
      <c r="P84" s="76">
        <v>1</v>
      </c>
      <c r="Q84" s="74" t="s">
        <v>50</v>
      </c>
      <c r="R84" s="74" t="s">
        <v>47</v>
      </c>
      <c r="S84" s="74" t="s">
        <v>47</v>
      </c>
      <c r="T84" s="76">
        <v>16237301.1</v>
      </c>
      <c r="U84" s="208">
        <v>300013.70000000112</v>
      </c>
      <c r="V84" s="74" t="s">
        <v>47</v>
      </c>
      <c r="W84" s="76">
        <v>16237300</v>
      </c>
      <c r="X84" s="76">
        <v>742744.95900000003</v>
      </c>
      <c r="Y84" s="208">
        <v>-23202.249000000069</v>
      </c>
      <c r="Z84" s="74" t="s">
        <v>47</v>
      </c>
      <c r="AA84" s="76">
        <v>14</v>
      </c>
      <c r="AB84" s="76">
        <v>279.5</v>
      </c>
      <c r="AC84" s="76">
        <v>129676174.09999999</v>
      </c>
      <c r="AD84" s="200">
        <v>-1.0099566772432516E-2</v>
      </c>
      <c r="AE84" s="76">
        <v>129256604.2</v>
      </c>
      <c r="AF84" s="76">
        <v>283.3</v>
      </c>
      <c r="AG84" s="200">
        <v>0.11634435433562074</v>
      </c>
      <c r="AH84" s="74" t="s">
        <v>47</v>
      </c>
      <c r="AI84" s="74" t="s">
        <v>47</v>
      </c>
      <c r="AJ84" s="76">
        <v>1565942.03</v>
      </c>
      <c r="AK84" s="76">
        <v>3.38</v>
      </c>
      <c r="AL84" s="74" t="s">
        <v>47</v>
      </c>
      <c r="AM84" s="74" t="s">
        <v>47</v>
      </c>
      <c r="AN84" s="76">
        <v>0</v>
      </c>
      <c r="AO84" s="76">
        <v>0</v>
      </c>
      <c r="AP84" s="76">
        <v>0</v>
      </c>
      <c r="AQ84" s="76">
        <v>0</v>
      </c>
      <c r="AR84" s="76">
        <v>13161.9</v>
      </c>
      <c r="AS84" s="76">
        <v>3945.1</v>
      </c>
      <c r="AT84" s="76">
        <v>9216.9</v>
      </c>
      <c r="AU84" s="76">
        <v>13161.9</v>
      </c>
      <c r="AV84" s="74" t="s">
        <v>63</v>
      </c>
      <c r="AW84" s="165" t="str">
        <f>VLOOKUP(AV84,Table3[#All],2,FALSE)</f>
        <v>Region3</v>
      </c>
      <c r="AX84" s="161" t="str">
        <f>IF(Key!$B$1&gt;0,CONCATENATE(O84,AW84),CONCATENATE(M84,AW84))</f>
        <v>AreaDRegion3</v>
      </c>
    </row>
    <row r="85" spans="1:50" s="126" customFormat="1" ht="29.5" thickBot="1">
      <c r="A85" s="82" t="s">
        <v>364</v>
      </c>
      <c r="B85" s="83" t="s">
        <v>365</v>
      </c>
      <c r="C85" s="83" t="s">
        <v>44</v>
      </c>
      <c r="D85" s="84">
        <v>43100</v>
      </c>
      <c r="E85" s="83" t="s">
        <v>366</v>
      </c>
      <c r="F85" s="83" t="s">
        <v>367</v>
      </c>
      <c r="G85" s="85">
        <v>1</v>
      </c>
      <c r="H85" s="83" t="s">
        <v>341</v>
      </c>
      <c r="I85" s="85">
        <v>100</v>
      </c>
      <c r="J85" s="83" t="s">
        <v>49</v>
      </c>
      <c r="K85" s="83" t="s">
        <v>49</v>
      </c>
      <c r="L85" s="174">
        <v>53281</v>
      </c>
      <c r="M85" s="199" t="str">
        <f>VLOOKUP(L85,Table2[#All],2,TRUE)</f>
        <v>AreaB</v>
      </c>
      <c r="N85" s="85">
        <v>25</v>
      </c>
      <c r="O85" s="164" t="str">
        <f>VLOOKUP(N85,Table1[#All],2,TRUE)</f>
        <v>BedA</v>
      </c>
      <c r="P85" s="85">
        <v>1</v>
      </c>
      <c r="Q85" s="83" t="s">
        <v>50</v>
      </c>
      <c r="R85" s="83" t="s">
        <v>47</v>
      </c>
      <c r="S85" s="83" t="s">
        <v>47</v>
      </c>
      <c r="T85" s="85">
        <v>2194461.7999999998</v>
      </c>
      <c r="U85" s="208">
        <v>142677.10000000009</v>
      </c>
      <c r="V85" s="83" t="s">
        <v>47</v>
      </c>
      <c r="W85" s="85">
        <v>2194462</v>
      </c>
      <c r="X85" s="83" t="s">
        <v>47</v>
      </c>
      <c r="Y85" s="208" t="e">
        <v>#VALUE!</v>
      </c>
      <c r="Z85" s="83" t="s">
        <v>47</v>
      </c>
      <c r="AA85" s="85">
        <v>66</v>
      </c>
      <c r="AB85" s="85">
        <v>271.7</v>
      </c>
      <c r="AC85" s="85">
        <v>14475471</v>
      </c>
      <c r="AD85" s="200">
        <v>1.2063840206965807E-2</v>
      </c>
      <c r="AE85" s="85">
        <v>14475471.1</v>
      </c>
      <c r="AF85" s="85">
        <v>273.60000000000002</v>
      </c>
      <c r="AG85" s="200">
        <v>1.0130246020260329E-2</v>
      </c>
      <c r="AH85" s="83" t="s">
        <v>47</v>
      </c>
      <c r="AI85" s="85">
        <v>3013</v>
      </c>
      <c r="AJ85" s="85">
        <v>498235.88</v>
      </c>
      <c r="AK85" s="85">
        <v>9.35</v>
      </c>
      <c r="AL85" s="85">
        <v>19795.93</v>
      </c>
      <c r="AM85" s="85">
        <v>0.37</v>
      </c>
      <c r="AN85" s="85">
        <v>0</v>
      </c>
      <c r="AO85" s="85">
        <v>0</v>
      </c>
      <c r="AP85" s="85">
        <v>0</v>
      </c>
      <c r="AQ85" s="85">
        <v>0</v>
      </c>
      <c r="AR85" s="85">
        <v>1028.5</v>
      </c>
      <c r="AS85" s="85">
        <v>501.1</v>
      </c>
      <c r="AT85" s="85">
        <v>527.4</v>
      </c>
      <c r="AU85" s="85">
        <v>1028.5</v>
      </c>
      <c r="AV85" s="83" t="s">
        <v>69</v>
      </c>
      <c r="AW85" s="165" t="str">
        <f>VLOOKUP(AV85,Table3[#All],2,FALSE)</f>
        <v>Region9</v>
      </c>
      <c r="AX85" s="161" t="str">
        <f>IF(Key!$B$1&gt;0,CONCATENATE(O85,AW85),CONCATENATE(M85,AW85))</f>
        <v>AreaBRegion9</v>
      </c>
    </row>
    <row r="86" spans="1:50" s="126" customFormat="1" ht="27" customHeight="1" thickBot="1">
      <c r="A86" s="82" t="s">
        <v>390</v>
      </c>
      <c r="B86" s="83" t="s">
        <v>391</v>
      </c>
      <c r="C86" s="83" t="s">
        <v>44</v>
      </c>
      <c r="D86" s="84">
        <v>43100</v>
      </c>
      <c r="E86" s="83" t="s">
        <v>392</v>
      </c>
      <c r="F86" s="83" t="s">
        <v>393</v>
      </c>
      <c r="G86" s="85">
        <v>1</v>
      </c>
      <c r="H86" s="83" t="s">
        <v>193</v>
      </c>
      <c r="I86" s="85">
        <v>100</v>
      </c>
      <c r="J86" s="83" t="s">
        <v>49</v>
      </c>
      <c r="K86" s="83" t="s">
        <v>47</v>
      </c>
      <c r="L86" s="174">
        <v>62986</v>
      </c>
      <c r="M86" s="199" t="str">
        <f>VLOOKUP(L86,Table2[#All],2,TRUE)</f>
        <v>AreaB</v>
      </c>
      <c r="N86" s="85">
        <v>25</v>
      </c>
      <c r="O86" s="164" t="str">
        <f>VLOOKUP(N86,Table1[#All],2,TRUE)</f>
        <v>BedA</v>
      </c>
      <c r="P86" s="85">
        <v>1</v>
      </c>
      <c r="Q86" s="83" t="s">
        <v>50</v>
      </c>
      <c r="R86" s="83" t="s">
        <v>47</v>
      </c>
      <c r="S86" s="83" t="s">
        <v>47</v>
      </c>
      <c r="T86" s="85">
        <v>2401794.7999999998</v>
      </c>
      <c r="U86" s="208">
        <v>219919.80000000028</v>
      </c>
      <c r="V86" s="83" t="s">
        <v>47</v>
      </c>
      <c r="W86" s="85">
        <v>2401795</v>
      </c>
      <c r="X86" s="85">
        <v>55720.000699999997</v>
      </c>
      <c r="Y86" s="208">
        <v>14670.006100000006</v>
      </c>
      <c r="Z86" s="83" t="s">
        <v>47</v>
      </c>
      <c r="AA86" s="85">
        <v>73</v>
      </c>
      <c r="AB86" s="85">
        <v>218.6</v>
      </c>
      <c r="AC86" s="85">
        <v>13766925</v>
      </c>
      <c r="AD86" s="200">
        <v>0.13872162745775665</v>
      </c>
      <c r="AE86" s="85">
        <v>13918885.6</v>
      </c>
      <c r="AF86" s="85">
        <v>222.5</v>
      </c>
      <c r="AG86" s="200">
        <v>0.12608012568735269</v>
      </c>
      <c r="AH86" s="83" t="s">
        <v>47</v>
      </c>
      <c r="AI86" s="83" t="s">
        <v>47</v>
      </c>
      <c r="AJ86" s="85">
        <v>222169.13</v>
      </c>
      <c r="AK86" s="85">
        <v>3.53</v>
      </c>
      <c r="AL86" s="83" t="s">
        <v>47</v>
      </c>
      <c r="AM86" s="83" t="s">
        <v>47</v>
      </c>
      <c r="AN86" s="85">
        <v>0</v>
      </c>
      <c r="AO86" s="85">
        <v>0</v>
      </c>
      <c r="AP86" s="85">
        <v>0</v>
      </c>
      <c r="AQ86" s="85">
        <v>0</v>
      </c>
      <c r="AR86" s="85">
        <v>1213.4000000000001</v>
      </c>
      <c r="AS86" s="85">
        <v>296</v>
      </c>
      <c r="AT86" s="85">
        <v>917.4</v>
      </c>
      <c r="AU86" s="85">
        <v>1213.4000000000001</v>
      </c>
      <c r="AV86" s="83" t="s">
        <v>304</v>
      </c>
      <c r="AW86" s="165" t="str">
        <f>VLOOKUP(AV86,Table3[#All],2,FALSE)</f>
        <v>Region7</v>
      </c>
      <c r="AX86" s="161" t="str">
        <f>IF(Key!$B$1&gt;0,CONCATENATE(O86,AW86),CONCATENATE(M86,AW86))</f>
        <v>AreaBRegion7</v>
      </c>
    </row>
    <row r="87" spans="1:50" s="68" customFormat="1" ht="29">
      <c r="A87" s="132" t="s">
        <v>236</v>
      </c>
      <c r="B87" s="133" t="s">
        <v>237</v>
      </c>
      <c r="C87" s="133" t="s">
        <v>44</v>
      </c>
      <c r="D87" s="134">
        <v>41274</v>
      </c>
      <c r="E87" s="133" t="s">
        <v>238</v>
      </c>
      <c r="F87" s="133" t="s">
        <v>239</v>
      </c>
      <c r="G87" s="135">
        <v>2</v>
      </c>
      <c r="H87" s="133" t="s">
        <v>48</v>
      </c>
      <c r="I87" s="135">
        <v>100</v>
      </c>
      <c r="J87" s="133" t="s">
        <v>49</v>
      </c>
      <c r="K87" s="133" t="s">
        <v>47</v>
      </c>
      <c r="L87" s="191">
        <v>907635</v>
      </c>
      <c r="M87" s="199" t="str">
        <f>VLOOKUP(L87,Table2[#All],2,TRUE)</f>
        <v>AreaE</v>
      </c>
      <c r="N87" s="135">
        <v>626.29999999999995</v>
      </c>
      <c r="O87" s="164" t="str">
        <f>VLOOKUP(N87,Table1[#All],2,TRUE)</f>
        <v>BedD</v>
      </c>
      <c r="P87" s="135">
        <v>1</v>
      </c>
      <c r="Q87" s="133" t="s">
        <v>50</v>
      </c>
      <c r="R87" s="133" t="s">
        <v>47</v>
      </c>
      <c r="S87" s="133" t="s">
        <v>47</v>
      </c>
      <c r="T87" s="135">
        <v>22356008.199999999</v>
      </c>
      <c r="U87" s="211">
        <v>217287.40000000224</v>
      </c>
      <c r="V87" s="133" t="s">
        <v>47</v>
      </c>
      <c r="W87" s="135">
        <v>22356010</v>
      </c>
      <c r="X87" s="135">
        <v>1248128.9820000001</v>
      </c>
      <c r="Y87" s="211">
        <v>45903.277000000002</v>
      </c>
      <c r="Z87" s="133" t="s">
        <v>47</v>
      </c>
      <c r="AA87" s="135">
        <v>75</v>
      </c>
      <c r="AB87" s="135">
        <v>222.1</v>
      </c>
      <c r="AC87" s="135">
        <v>201588407.5</v>
      </c>
      <c r="AD87" s="203">
        <v>2.576700760251547E-2</v>
      </c>
      <c r="AE87" s="135">
        <v>190387493.80000001</v>
      </c>
      <c r="AF87" s="135">
        <v>221.3</v>
      </c>
      <c r="AG87" s="203">
        <v>2.2526501766784425E-2</v>
      </c>
      <c r="AH87" s="133" t="s">
        <v>47</v>
      </c>
      <c r="AI87" s="135">
        <v>46080.7</v>
      </c>
      <c r="AJ87" s="135">
        <v>2322033</v>
      </c>
      <c r="AK87" s="135">
        <v>2.56</v>
      </c>
      <c r="AL87" s="135">
        <v>340113.03</v>
      </c>
      <c r="AM87" s="135">
        <v>0.37</v>
      </c>
      <c r="AN87" s="135">
        <v>0</v>
      </c>
      <c r="AO87" s="135">
        <v>0</v>
      </c>
      <c r="AP87" s="135">
        <v>0</v>
      </c>
      <c r="AQ87" s="135">
        <v>0</v>
      </c>
      <c r="AR87" s="135">
        <v>19356.3</v>
      </c>
      <c r="AS87" s="135">
        <v>6666.3</v>
      </c>
      <c r="AT87" s="135">
        <v>12690</v>
      </c>
      <c r="AU87" s="135">
        <v>19356.3</v>
      </c>
      <c r="AV87" s="133" t="s">
        <v>91</v>
      </c>
      <c r="AW87" s="165" t="str">
        <f>VLOOKUP(AV87,Table3[#All],2,FALSE)</f>
        <v>Region5</v>
      </c>
      <c r="AX87" s="161" t="str">
        <f>IF(Key!$B$1&gt;0,CONCATENATE(O87,AW87),CONCATENATE(M87,AW87))</f>
        <v>AreaERegion5</v>
      </c>
    </row>
    <row r="88" spans="1:50" s="136" customFormat="1" ht="30" customHeight="1">
      <c r="A88" s="95" t="s">
        <v>236</v>
      </c>
      <c r="B88" s="32" t="s">
        <v>237</v>
      </c>
      <c r="C88" s="32" t="s">
        <v>44</v>
      </c>
      <c r="D88" s="33">
        <v>40908</v>
      </c>
      <c r="E88" s="32" t="s">
        <v>238</v>
      </c>
      <c r="F88" s="32" t="s">
        <v>239</v>
      </c>
      <c r="G88" s="34">
        <v>2</v>
      </c>
      <c r="H88" s="32" t="s">
        <v>48</v>
      </c>
      <c r="I88" s="34">
        <v>100</v>
      </c>
      <c r="J88" s="32" t="s">
        <v>49</v>
      </c>
      <c r="K88" s="32" t="s">
        <v>47</v>
      </c>
      <c r="L88" s="179">
        <v>907635</v>
      </c>
      <c r="M88" s="199" t="str">
        <f>VLOOKUP(L88,Table2[#All],2,TRUE)</f>
        <v>AreaE</v>
      </c>
      <c r="N88" s="34">
        <v>626.29999999999995</v>
      </c>
      <c r="O88" s="164" t="str">
        <f>VLOOKUP(N88,Table1[#All],2,TRUE)</f>
        <v>BedD</v>
      </c>
      <c r="P88" s="34">
        <v>1</v>
      </c>
      <c r="Q88" s="32" t="s">
        <v>50</v>
      </c>
      <c r="R88" s="32" t="s">
        <v>47</v>
      </c>
      <c r="S88" s="32" t="s">
        <v>47</v>
      </c>
      <c r="T88" s="34">
        <v>22573295.600000001</v>
      </c>
      <c r="U88" s="209">
        <v>723973.09999999776</v>
      </c>
      <c r="V88" s="32" t="s">
        <v>47</v>
      </c>
      <c r="W88" s="34">
        <v>22573300</v>
      </c>
      <c r="X88" s="34">
        <v>1294032.2590000001</v>
      </c>
      <c r="Y88" s="209">
        <v>63663.256999999983</v>
      </c>
      <c r="Z88" s="32" t="s">
        <v>47</v>
      </c>
      <c r="AA88" s="34">
        <v>72</v>
      </c>
      <c r="AB88" s="34">
        <v>228</v>
      </c>
      <c r="AC88" s="34">
        <v>206920119.80000001</v>
      </c>
      <c r="AD88" s="201">
        <v>4.095596834511351E-2</v>
      </c>
      <c r="AE88" s="34">
        <v>195368953.69999999</v>
      </c>
      <c r="AF88" s="34">
        <v>226.4</v>
      </c>
      <c r="AG88" s="201">
        <v>2.8326180257510707E-2</v>
      </c>
      <c r="AH88" s="32" t="s">
        <v>47</v>
      </c>
      <c r="AI88" s="34">
        <v>47876.800000000003</v>
      </c>
      <c r="AJ88" s="34">
        <v>2593061.06</v>
      </c>
      <c r="AK88" s="34">
        <v>2.86</v>
      </c>
      <c r="AL88" s="34">
        <v>321566</v>
      </c>
      <c r="AM88" s="34">
        <v>0.35</v>
      </c>
      <c r="AN88" s="34">
        <v>0</v>
      </c>
      <c r="AO88" s="34">
        <v>0</v>
      </c>
      <c r="AP88" s="34">
        <v>0</v>
      </c>
      <c r="AQ88" s="34">
        <v>0</v>
      </c>
      <c r="AR88" s="34">
        <v>19723.5</v>
      </c>
      <c r="AS88" s="34">
        <v>6910.1</v>
      </c>
      <c r="AT88" s="34">
        <v>12813.4</v>
      </c>
      <c r="AU88" s="34">
        <v>19723.5</v>
      </c>
      <c r="AV88" s="32" t="s">
        <v>91</v>
      </c>
      <c r="AW88" s="165" t="str">
        <f>VLOOKUP(AV88,Table3[#All],2,FALSE)</f>
        <v>Region5</v>
      </c>
      <c r="AX88" s="161" t="str">
        <f>IF(Key!$B$1&gt;0,CONCATENATE(O88,AW88),CONCATENATE(M88,AW88))</f>
        <v>AreaERegion5</v>
      </c>
    </row>
    <row r="89" spans="1:50" s="136" customFormat="1" ht="29">
      <c r="A89" s="107" t="s">
        <v>236</v>
      </c>
      <c r="B89" s="29" t="s">
        <v>237</v>
      </c>
      <c r="C89" s="29" t="s">
        <v>44</v>
      </c>
      <c r="D89" s="30">
        <v>40543</v>
      </c>
      <c r="E89" s="29" t="s">
        <v>238</v>
      </c>
      <c r="F89" s="29" t="s">
        <v>239</v>
      </c>
      <c r="G89" s="31">
        <v>2</v>
      </c>
      <c r="H89" s="29" t="s">
        <v>48</v>
      </c>
      <c r="I89" s="31">
        <v>100</v>
      </c>
      <c r="J89" s="29" t="s">
        <v>49</v>
      </c>
      <c r="K89" s="29" t="s">
        <v>47</v>
      </c>
      <c r="L89" s="183">
        <v>907635</v>
      </c>
      <c r="M89" s="199" t="str">
        <f>VLOOKUP(L89,Table2[#All],2,TRUE)</f>
        <v>AreaE</v>
      </c>
      <c r="N89" s="31">
        <v>626.29999999999995</v>
      </c>
      <c r="O89" s="164" t="str">
        <f>VLOOKUP(N89,Table1[#All],2,TRUE)</f>
        <v>BedD</v>
      </c>
      <c r="P89" s="31">
        <v>1</v>
      </c>
      <c r="Q89" s="29" t="s">
        <v>50</v>
      </c>
      <c r="R89" s="29" t="s">
        <v>47</v>
      </c>
      <c r="S89" s="29" t="s">
        <v>47</v>
      </c>
      <c r="T89" s="31">
        <v>23297268.699999999</v>
      </c>
      <c r="U89" s="209">
        <v>346271.60000000149</v>
      </c>
      <c r="V89" s="29" t="s">
        <v>47</v>
      </c>
      <c r="W89" s="31">
        <v>23297270</v>
      </c>
      <c r="X89" s="31">
        <v>1357695.5160000001</v>
      </c>
      <c r="Y89" s="209">
        <v>-22233.363000000129</v>
      </c>
      <c r="Z89" s="29" t="s">
        <v>47</v>
      </c>
      <c r="AA89" s="31">
        <v>66</v>
      </c>
      <c r="AB89" s="31">
        <v>237.7</v>
      </c>
      <c r="AC89" s="31">
        <v>215756642</v>
      </c>
      <c r="AD89" s="201">
        <v>-4.4649347472550723E-3</v>
      </c>
      <c r="AE89" s="31">
        <v>202862911.5</v>
      </c>
      <c r="AF89" s="31">
        <v>233</v>
      </c>
      <c r="AG89" s="201">
        <v>1.6877637130801686E-2</v>
      </c>
      <c r="AH89" s="29" t="s">
        <v>47</v>
      </c>
      <c r="AI89" s="31">
        <v>53500.7</v>
      </c>
      <c r="AJ89" s="31">
        <v>3063562.96</v>
      </c>
      <c r="AK89" s="31">
        <v>3.38</v>
      </c>
      <c r="AL89" s="31">
        <v>330870</v>
      </c>
      <c r="AM89" s="31">
        <v>0.36</v>
      </c>
      <c r="AN89" s="31">
        <v>0</v>
      </c>
      <c r="AO89" s="31">
        <v>0</v>
      </c>
      <c r="AP89" s="31">
        <v>0</v>
      </c>
      <c r="AQ89" s="31">
        <v>0</v>
      </c>
      <c r="AR89" s="31">
        <v>20472.599999999999</v>
      </c>
      <c r="AS89" s="31">
        <v>7248.2</v>
      </c>
      <c r="AT89" s="31">
        <v>13224.3</v>
      </c>
      <c r="AU89" s="31">
        <v>20472.599999999999</v>
      </c>
      <c r="AV89" s="29" t="s">
        <v>91</v>
      </c>
      <c r="AW89" s="165" t="str">
        <f>VLOOKUP(AV89,Table3[#All],2,FALSE)</f>
        <v>Region5</v>
      </c>
      <c r="AX89" s="161" t="str">
        <f>IF(Key!$B$1&gt;0,CONCATENATE(O89,AW89),CONCATENATE(M89,AW89))</f>
        <v>AreaERegion5</v>
      </c>
    </row>
    <row r="90" spans="1:50" s="136" customFormat="1" ht="29.5" thickBot="1">
      <c r="A90" s="104" t="s">
        <v>236</v>
      </c>
      <c r="B90" s="35" t="s">
        <v>237</v>
      </c>
      <c r="C90" s="35" t="s">
        <v>44</v>
      </c>
      <c r="D90" s="36">
        <v>40178</v>
      </c>
      <c r="E90" s="35" t="s">
        <v>238</v>
      </c>
      <c r="F90" s="35" t="s">
        <v>239</v>
      </c>
      <c r="G90" s="37">
        <v>2</v>
      </c>
      <c r="H90" s="35" t="s">
        <v>48</v>
      </c>
      <c r="I90" s="37">
        <v>100</v>
      </c>
      <c r="J90" s="35" t="s">
        <v>49</v>
      </c>
      <c r="K90" s="35" t="s">
        <v>47</v>
      </c>
      <c r="L90" s="182">
        <v>907635</v>
      </c>
      <c r="M90" s="199" t="str">
        <f>VLOOKUP(L90,Table2[#All],2,TRUE)</f>
        <v>AreaE</v>
      </c>
      <c r="N90" s="37">
        <v>626.29999999999995</v>
      </c>
      <c r="O90" s="164" t="str">
        <f>VLOOKUP(N90,Table1[#All],2,TRUE)</f>
        <v>BedD</v>
      </c>
      <c r="P90" s="37">
        <v>1</v>
      </c>
      <c r="Q90" s="35" t="s">
        <v>50</v>
      </c>
      <c r="R90" s="35" t="s">
        <v>47</v>
      </c>
      <c r="S90" s="35" t="s">
        <v>47</v>
      </c>
      <c r="T90" s="37">
        <v>23643540.300000001</v>
      </c>
      <c r="U90" s="209">
        <v>369550.19999999925</v>
      </c>
      <c r="V90" s="35" t="s">
        <v>47</v>
      </c>
      <c r="W90" s="37">
        <v>23643540</v>
      </c>
      <c r="X90" s="37">
        <v>1335462.1529999999</v>
      </c>
      <c r="Y90" s="209">
        <v>-117733.52799999993</v>
      </c>
      <c r="Z90" s="35" t="s">
        <v>47</v>
      </c>
      <c r="AA90" s="37">
        <v>61</v>
      </c>
      <c r="AB90" s="37">
        <v>236.7</v>
      </c>
      <c r="AC90" s="37">
        <v>214797584.80000001</v>
      </c>
      <c r="AD90" s="201">
        <v>-5.3060261552949704E-2</v>
      </c>
      <c r="AE90" s="37">
        <v>205929875.80000001</v>
      </c>
      <c r="AF90" s="37">
        <v>237</v>
      </c>
      <c r="AG90" s="201">
        <v>-5.4270462633451901E-2</v>
      </c>
      <c r="AH90" s="35" t="s">
        <v>47</v>
      </c>
      <c r="AI90" s="35" t="s">
        <v>47</v>
      </c>
      <c r="AJ90" s="37">
        <v>3384372.01</v>
      </c>
      <c r="AK90" s="37">
        <v>3.73</v>
      </c>
      <c r="AL90" s="35" t="s">
        <v>47</v>
      </c>
      <c r="AM90" s="35" t="s">
        <v>47</v>
      </c>
      <c r="AN90" s="37">
        <v>0</v>
      </c>
      <c r="AO90" s="37">
        <v>0</v>
      </c>
      <c r="AP90" s="37">
        <v>0</v>
      </c>
      <c r="AQ90" s="37">
        <v>0</v>
      </c>
      <c r="AR90" s="37">
        <v>20557.2</v>
      </c>
      <c r="AS90" s="37">
        <v>7136.3</v>
      </c>
      <c r="AT90" s="37">
        <v>13420.9</v>
      </c>
      <c r="AU90" s="37">
        <v>20557.2</v>
      </c>
      <c r="AV90" s="35" t="s">
        <v>91</v>
      </c>
      <c r="AW90" s="165" t="str">
        <f>VLOOKUP(AV90,Table3[#All],2,FALSE)</f>
        <v>Region5</v>
      </c>
      <c r="AX90" s="161" t="str">
        <f>IF(Key!$B$1&gt;0,CONCATENATE(O90,AW90),CONCATENATE(M90,AW90))</f>
        <v>AreaERegion5</v>
      </c>
    </row>
    <row r="91" spans="1:50" s="137" customFormat="1" ht="29.5" thickBot="1">
      <c r="A91" s="73" t="s">
        <v>92</v>
      </c>
      <c r="B91" s="74" t="s">
        <v>93</v>
      </c>
      <c r="C91" s="74" t="s">
        <v>44</v>
      </c>
      <c r="D91" s="75">
        <v>42735</v>
      </c>
      <c r="E91" s="74" t="s">
        <v>94</v>
      </c>
      <c r="F91" s="74" t="s">
        <v>95</v>
      </c>
      <c r="G91" s="76">
        <v>1</v>
      </c>
      <c r="H91" s="74" t="s">
        <v>96</v>
      </c>
      <c r="I91" s="76">
        <v>100</v>
      </c>
      <c r="J91" s="74" t="s">
        <v>49</v>
      </c>
      <c r="K91" s="74" t="s">
        <v>47</v>
      </c>
      <c r="L91" s="172">
        <v>70117</v>
      </c>
      <c r="M91" s="199" t="str">
        <f>VLOOKUP(L91,Table2[#All],2,TRUE)</f>
        <v>AreaB</v>
      </c>
      <c r="N91" s="76">
        <v>25.27</v>
      </c>
      <c r="O91" s="164" t="str">
        <f>VLOOKUP(N91,Table1[#All],2,TRUE)</f>
        <v>BedA</v>
      </c>
      <c r="P91" s="76">
        <v>1</v>
      </c>
      <c r="Q91" s="74" t="s">
        <v>50</v>
      </c>
      <c r="R91" s="74" t="s">
        <v>47</v>
      </c>
      <c r="S91" s="74" t="s">
        <v>47</v>
      </c>
      <c r="T91" s="76">
        <v>1812172.7</v>
      </c>
      <c r="U91" s="208">
        <v>172461.90000000014</v>
      </c>
      <c r="V91" s="74" t="s">
        <v>47</v>
      </c>
      <c r="W91" s="76">
        <v>1812173</v>
      </c>
      <c r="X91" s="76">
        <v>33127.727539</v>
      </c>
      <c r="Y91" s="208">
        <v>-883.15063999999984</v>
      </c>
      <c r="Z91" s="74" t="s">
        <v>47</v>
      </c>
      <c r="AA91" s="76">
        <v>100</v>
      </c>
      <c r="AB91" s="76">
        <v>135.4</v>
      </c>
      <c r="AC91" s="76">
        <v>9495906.6999999993</v>
      </c>
      <c r="AD91" s="200">
        <v>5.0032363842620171E-2</v>
      </c>
      <c r="AE91" s="76">
        <v>9466014.5</v>
      </c>
      <c r="AF91" s="76">
        <v>141.80000000000001</v>
      </c>
      <c r="AG91" s="200">
        <v>0.29347284504235166</v>
      </c>
      <c r="AH91" s="74" t="s">
        <v>47</v>
      </c>
      <c r="AI91" s="74" t="s">
        <v>47</v>
      </c>
      <c r="AJ91" s="74" t="s">
        <v>47</v>
      </c>
      <c r="AK91" s="74" t="s">
        <v>47</v>
      </c>
      <c r="AL91" s="74" t="s">
        <v>47</v>
      </c>
      <c r="AM91" s="74" t="s">
        <v>47</v>
      </c>
      <c r="AN91" s="76">
        <v>0</v>
      </c>
      <c r="AO91" s="76">
        <v>0</v>
      </c>
      <c r="AP91" s="76">
        <v>0</v>
      </c>
      <c r="AQ91" s="76">
        <v>0</v>
      </c>
      <c r="AR91" s="76">
        <v>1204.5999999999999</v>
      </c>
      <c r="AS91" s="76">
        <v>176</v>
      </c>
      <c r="AT91" s="76">
        <v>1028.7</v>
      </c>
      <c r="AU91" s="76">
        <v>1204.5999999999999</v>
      </c>
      <c r="AV91" s="74" t="s">
        <v>91</v>
      </c>
      <c r="AW91" s="165" t="str">
        <f>VLOOKUP(AV91,Table3[#All],2,FALSE)</f>
        <v>Region5</v>
      </c>
      <c r="AX91" s="161" t="str">
        <f>IF(Key!$B$1&gt;0,CONCATENATE(O91,AW91),CONCATENATE(M91,AW91))</f>
        <v>AreaBRegion5</v>
      </c>
    </row>
    <row r="92" spans="1:50" s="137" customFormat="1" ht="29.5" thickBot="1">
      <c r="A92" s="90" t="s">
        <v>265</v>
      </c>
      <c r="B92" s="91" t="s">
        <v>266</v>
      </c>
      <c r="C92" s="91" t="s">
        <v>44</v>
      </c>
      <c r="D92" s="92">
        <v>41274</v>
      </c>
      <c r="E92" s="91" t="s">
        <v>267</v>
      </c>
      <c r="F92" s="91" t="s">
        <v>268</v>
      </c>
      <c r="G92" s="93">
        <v>1</v>
      </c>
      <c r="H92" s="91" t="s">
        <v>257</v>
      </c>
      <c r="I92" s="93">
        <v>100</v>
      </c>
      <c r="J92" s="91" t="s">
        <v>49</v>
      </c>
      <c r="K92" s="91" t="s">
        <v>47</v>
      </c>
      <c r="L92" s="177">
        <v>363262</v>
      </c>
      <c r="M92" s="199" t="str">
        <f>VLOOKUP(L92,Table2[#All],2,TRUE)</f>
        <v>AreaD</v>
      </c>
      <c r="N92" s="93">
        <v>248.8</v>
      </c>
      <c r="O92" s="164" t="str">
        <f>VLOOKUP(N92,Table1[#All],2,TRUE)</f>
        <v>BedB</v>
      </c>
      <c r="P92" s="93">
        <v>1</v>
      </c>
      <c r="Q92" s="91" t="s">
        <v>50</v>
      </c>
      <c r="R92" s="91" t="s">
        <v>47</v>
      </c>
      <c r="S92" s="91" t="s">
        <v>47</v>
      </c>
      <c r="T92" s="93">
        <v>7937504.5999999996</v>
      </c>
      <c r="U92" s="208">
        <v>-367763.39999999944</v>
      </c>
      <c r="V92" s="91" t="s">
        <v>47</v>
      </c>
      <c r="W92" s="93">
        <v>7937506</v>
      </c>
      <c r="X92" s="93">
        <v>466981.96409999998</v>
      </c>
      <c r="Y92" s="208">
        <v>55794.008100000035</v>
      </c>
      <c r="Z92" s="91" t="s">
        <v>47</v>
      </c>
      <c r="AA92" s="93">
        <v>60</v>
      </c>
      <c r="AB92" s="93">
        <v>203.1</v>
      </c>
      <c r="AC92" s="93">
        <v>73780965.400000006</v>
      </c>
      <c r="AD92" s="200">
        <v>5.5368555701989612E-2</v>
      </c>
      <c r="AE92" s="93">
        <v>75050730.099999994</v>
      </c>
      <c r="AF92" s="93">
        <v>214.4</v>
      </c>
      <c r="AG92" s="200">
        <v>1.1981566820276471E-2</v>
      </c>
      <c r="AH92" s="91" t="s">
        <v>47</v>
      </c>
      <c r="AI92" s="91" t="s">
        <v>47</v>
      </c>
      <c r="AJ92" s="91" t="s">
        <v>47</v>
      </c>
      <c r="AK92" s="91" t="s">
        <v>47</v>
      </c>
      <c r="AL92" s="91" t="s">
        <v>47</v>
      </c>
      <c r="AM92" s="91" t="s">
        <v>47</v>
      </c>
      <c r="AN92" s="93">
        <v>0</v>
      </c>
      <c r="AO92" s="93">
        <v>0</v>
      </c>
      <c r="AP92" s="93">
        <v>0</v>
      </c>
      <c r="AQ92" s="93">
        <v>0</v>
      </c>
      <c r="AR92" s="93">
        <v>6986</v>
      </c>
      <c r="AS92" s="93">
        <v>2480.4</v>
      </c>
      <c r="AT92" s="93">
        <v>4505.6000000000004</v>
      </c>
      <c r="AU92" s="93">
        <v>6986</v>
      </c>
      <c r="AV92" s="91" t="s">
        <v>114</v>
      </c>
      <c r="AW92" s="165" t="str">
        <f>VLOOKUP(AV92,Table3[#All],2,FALSE)</f>
        <v>Region6</v>
      </c>
      <c r="AX92" s="161" t="str">
        <f>IF(Key!$B$1&gt;0,CONCATENATE(O92,AW92),CONCATENATE(M92,AW92))</f>
        <v>AreaDRegion6</v>
      </c>
    </row>
    <row r="93" spans="1:50" s="137" customFormat="1" ht="29.5" thickBot="1">
      <c r="A93" s="82" t="s">
        <v>332</v>
      </c>
      <c r="B93" s="83" t="s">
        <v>333</v>
      </c>
      <c r="C93" s="83" t="s">
        <v>44</v>
      </c>
      <c r="D93" s="84">
        <v>43100</v>
      </c>
      <c r="E93" s="83" t="s">
        <v>334</v>
      </c>
      <c r="F93" s="83" t="s">
        <v>335</v>
      </c>
      <c r="G93" s="85">
        <v>5</v>
      </c>
      <c r="H93" s="83" t="s">
        <v>273</v>
      </c>
      <c r="I93" s="85">
        <v>100</v>
      </c>
      <c r="J93" s="83" t="s">
        <v>49</v>
      </c>
      <c r="K93" s="83" t="s">
        <v>49</v>
      </c>
      <c r="L93" s="174">
        <v>956244</v>
      </c>
      <c r="M93" s="199" t="str">
        <f>VLOOKUP(L93,Table2[#All],2,TRUE)</f>
        <v>AreaE</v>
      </c>
      <c r="N93" s="85">
        <v>386</v>
      </c>
      <c r="O93" s="164" t="str">
        <f>VLOOKUP(N93,Table1[#All],2,TRUE)</f>
        <v>BedC</v>
      </c>
      <c r="P93" s="85">
        <v>1</v>
      </c>
      <c r="Q93" s="83" t="s">
        <v>50</v>
      </c>
      <c r="R93" s="83" t="s">
        <v>47</v>
      </c>
      <c r="S93" s="83" t="s">
        <v>47</v>
      </c>
      <c r="T93" s="85">
        <v>18349149.100000001</v>
      </c>
      <c r="U93" s="208">
        <v>2361293.6999999993</v>
      </c>
      <c r="V93" s="83" t="s">
        <v>47</v>
      </c>
      <c r="W93" s="85">
        <v>18349150</v>
      </c>
      <c r="X93" s="85">
        <v>47850.834509999993</v>
      </c>
      <c r="Y93" s="208">
        <v>23073.834970000004</v>
      </c>
      <c r="Z93" s="83" t="s">
        <v>47</v>
      </c>
      <c r="AA93" s="85">
        <v>89</v>
      </c>
      <c r="AB93" s="85">
        <v>144.69999999999999</v>
      </c>
      <c r="AC93" s="85">
        <v>138642833.59999999</v>
      </c>
      <c r="AD93" s="200">
        <v>0.14027582665646743</v>
      </c>
      <c r="AE93" s="85">
        <v>139796627.80000001</v>
      </c>
      <c r="AF93" s="85">
        <v>147.1</v>
      </c>
      <c r="AG93" s="200">
        <v>0.13368669022379279</v>
      </c>
      <c r="AH93" s="83" t="s">
        <v>47</v>
      </c>
      <c r="AI93" s="83" t="s">
        <v>47</v>
      </c>
      <c r="AJ93" s="85">
        <v>2371435.48</v>
      </c>
      <c r="AK93" s="85">
        <v>2.4700000000000002</v>
      </c>
      <c r="AL93" s="83" t="s">
        <v>47</v>
      </c>
      <c r="AM93" s="83" t="s">
        <v>47</v>
      </c>
      <c r="AN93" s="85">
        <v>0</v>
      </c>
      <c r="AO93" s="85">
        <v>0</v>
      </c>
      <c r="AP93" s="85">
        <v>0</v>
      </c>
      <c r="AQ93" s="85">
        <v>0</v>
      </c>
      <c r="AR93" s="85">
        <v>15400.7</v>
      </c>
      <c r="AS93" s="85">
        <v>254.2</v>
      </c>
      <c r="AT93" s="85">
        <v>15146.5</v>
      </c>
      <c r="AU93" s="85">
        <v>15400.7</v>
      </c>
      <c r="AV93" s="83" t="s">
        <v>114</v>
      </c>
      <c r="AW93" s="165" t="str">
        <f>VLOOKUP(AV93,Table3[#All],2,FALSE)</f>
        <v>Region6</v>
      </c>
      <c r="AX93" s="161" t="str">
        <f>IF(Key!$B$1&gt;0,CONCATENATE(O93,AW93),CONCATENATE(M93,AW93))</f>
        <v>AreaERegion6</v>
      </c>
    </row>
    <row r="94" spans="1:50" s="137" customFormat="1" ht="43.5">
      <c r="A94" s="82" t="s">
        <v>269</v>
      </c>
      <c r="B94" s="83" t="s">
        <v>270</v>
      </c>
      <c r="C94" s="83" t="s">
        <v>44</v>
      </c>
      <c r="D94" s="84">
        <v>43100</v>
      </c>
      <c r="E94" s="83" t="s">
        <v>271</v>
      </c>
      <c r="F94" s="83" t="s">
        <v>272</v>
      </c>
      <c r="G94" s="85">
        <v>1</v>
      </c>
      <c r="H94" s="83" t="s">
        <v>273</v>
      </c>
      <c r="I94" s="85">
        <v>100</v>
      </c>
      <c r="J94" s="83" t="s">
        <v>49</v>
      </c>
      <c r="K94" s="83" t="s">
        <v>49</v>
      </c>
      <c r="L94" s="174">
        <v>285978</v>
      </c>
      <c r="M94" s="199" t="str">
        <f>VLOOKUP(L94,Table2[#All],2,TRUE)</f>
        <v>AreaC</v>
      </c>
      <c r="N94" s="85">
        <v>185</v>
      </c>
      <c r="O94" s="164" t="str">
        <f>VLOOKUP(N94,Table1[#All],2,TRUE)</f>
        <v>BedB</v>
      </c>
      <c r="P94" s="85">
        <v>1</v>
      </c>
      <c r="Q94" s="83" t="s">
        <v>50</v>
      </c>
      <c r="R94" s="83" t="s">
        <v>47</v>
      </c>
      <c r="S94" s="83" t="s">
        <v>47</v>
      </c>
      <c r="T94" s="85">
        <v>6082044.4000000004</v>
      </c>
      <c r="U94" s="208">
        <v>176509.79999999981</v>
      </c>
      <c r="V94" s="83" t="s">
        <v>47</v>
      </c>
      <c r="W94" s="85">
        <v>6082045</v>
      </c>
      <c r="X94" s="85">
        <v>373860.14577</v>
      </c>
      <c r="Y94" s="208">
        <v>52439.050310000021</v>
      </c>
      <c r="Z94" s="83" t="s">
        <v>47</v>
      </c>
      <c r="AA94" s="85">
        <v>82</v>
      </c>
      <c r="AB94" s="85">
        <v>203.3</v>
      </c>
      <c r="AC94" s="85">
        <v>58137952.600000001</v>
      </c>
      <c r="AD94" s="200">
        <v>9.136888319764247E-2</v>
      </c>
      <c r="AE94" s="85">
        <v>58564977.600000001</v>
      </c>
      <c r="AF94" s="85">
        <v>208</v>
      </c>
      <c r="AG94" s="200">
        <v>9.0113735783027102E-2</v>
      </c>
      <c r="AH94" s="83" t="s">
        <v>47</v>
      </c>
      <c r="AI94" s="85">
        <v>13230.8</v>
      </c>
      <c r="AJ94" s="85">
        <v>644423.27</v>
      </c>
      <c r="AK94" s="85">
        <v>2.25</v>
      </c>
      <c r="AL94" s="85">
        <v>57800.73</v>
      </c>
      <c r="AM94" s="85">
        <v>0.2</v>
      </c>
      <c r="AN94" s="85">
        <v>500000</v>
      </c>
      <c r="AO94" s="85">
        <v>50000</v>
      </c>
      <c r="AP94" s="85">
        <v>0</v>
      </c>
      <c r="AQ94" s="85">
        <v>0</v>
      </c>
      <c r="AR94" s="85">
        <v>6618.3</v>
      </c>
      <c r="AS94" s="85">
        <v>1985.8</v>
      </c>
      <c r="AT94" s="85">
        <v>4632.6000000000004</v>
      </c>
      <c r="AU94" s="85">
        <v>6618.3</v>
      </c>
      <c r="AV94" s="83" t="s">
        <v>114</v>
      </c>
      <c r="AW94" s="165" t="str">
        <f>VLOOKUP(AV94,Table3[#All],2,FALSE)</f>
        <v>Region6</v>
      </c>
      <c r="AX94" s="161" t="str">
        <f>IF(Key!$B$1&gt;0,CONCATENATE(O94,AW94),CONCATENATE(M94,AW94))</f>
        <v>AreaCRegion6</v>
      </c>
    </row>
    <row r="95" spans="1:50" s="136" customFormat="1" ht="44" thickBot="1">
      <c r="A95" s="94" t="s">
        <v>269</v>
      </c>
      <c r="B95" s="26" t="s">
        <v>270</v>
      </c>
      <c r="C95" s="26" t="s">
        <v>44</v>
      </c>
      <c r="D95" s="27">
        <v>41274</v>
      </c>
      <c r="E95" s="26" t="s">
        <v>271</v>
      </c>
      <c r="F95" s="26" t="s">
        <v>272</v>
      </c>
      <c r="G95" s="28">
        <v>1</v>
      </c>
      <c r="H95" s="26" t="s">
        <v>273</v>
      </c>
      <c r="I95" s="28">
        <v>100</v>
      </c>
      <c r="J95" s="26" t="s">
        <v>49</v>
      </c>
      <c r="K95" s="26" t="s">
        <v>49</v>
      </c>
      <c r="L95" s="178">
        <v>285978</v>
      </c>
      <c r="M95" s="199" t="str">
        <f>VLOOKUP(L95,Table2[#All],2,TRUE)</f>
        <v>AreaC</v>
      </c>
      <c r="N95" s="28">
        <v>185</v>
      </c>
      <c r="O95" s="164" t="str">
        <f>VLOOKUP(N95,Table1[#All],2,TRUE)</f>
        <v>BedB</v>
      </c>
      <c r="P95" s="28">
        <v>1</v>
      </c>
      <c r="Q95" s="26" t="s">
        <v>50</v>
      </c>
      <c r="R95" s="26" t="s">
        <v>47</v>
      </c>
      <c r="S95" s="26" t="s">
        <v>47</v>
      </c>
      <c r="T95" s="28">
        <v>6397795.2000000002</v>
      </c>
      <c r="U95" s="209">
        <v>29489.099999999627</v>
      </c>
      <c r="V95" s="26" t="s">
        <v>47</v>
      </c>
      <c r="W95" s="28">
        <v>6397796</v>
      </c>
      <c r="X95" s="28">
        <v>537286.02300000004</v>
      </c>
      <c r="Y95" s="209">
        <v>64973.993999999948</v>
      </c>
      <c r="Z95" s="26" t="s">
        <v>47</v>
      </c>
      <c r="AA95" s="28">
        <v>45</v>
      </c>
      <c r="AB95" s="28">
        <v>264.2</v>
      </c>
      <c r="AC95" s="28">
        <v>75557882.200000003</v>
      </c>
      <c r="AD95" s="201">
        <v>8.0310925064389568E-2</v>
      </c>
      <c r="AE95" s="28">
        <v>76936965.799999997</v>
      </c>
      <c r="AF95" s="28">
        <v>264.7</v>
      </c>
      <c r="AG95" s="201">
        <v>7.641311933007687E-2</v>
      </c>
      <c r="AH95" s="26" t="s">
        <v>47</v>
      </c>
      <c r="AI95" s="26" t="s">
        <v>47</v>
      </c>
      <c r="AJ95" s="26" t="s">
        <v>47</v>
      </c>
      <c r="AK95" s="26" t="s">
        <v>47</v>
      </c>
      <c r="AL95" s="26" t="s">
        <v>47</v>
      </c>
      <c r="AM95" s="26" t="s">
        <v>47</v>
      </c>
      <c r="AN95" s="28">
        <v>500000</v>
      </c>
      <c r="AO95" s="28">
        <v>50000</v>
      </c>
      <c r="AP95" s="28">
        <v>0</v>
      </c>
      <c r="AQ95" s="28">
        <v>0</v>
      </c>
      <c r="AR95" s="28">
        <v>7726.9</v>
      </c>
      <c r="AS95" s="28">
        <v>2853.8</v>
      </c>
      <c r="AT95" s="28">
        <v>4873.1000000000004</v>
      </c>
      <c r="AU95" s="28">
        <v>7726.9</v>
      </c>
      <c r="AV95" s="26" t="s">
        <v>114</v>
      </c>
      <c r="AW95" s="165" t="str">
        <f>VLOOKUP(AV95,Table3[#All],2,FALSE)</f>
        <v>Region6</v>
      </c>
      <c r="AX95" s="161" t="str">
        <f>IF(Key!$B$1&gt;0,CONCATENATE(O95,AW95),CONCATENATE(M95,AW95))</f>
        <v>AreaCRegion6</v>
      </c>
    </row>
    <row r="96" spans="1:50" s="137" customFormat="1" ht="29.5" thickBot="1">
      <c r="A96" s="138" t="s">
        <v>292</v>
      </c>
      <c r="B96" s="139" t="s">
        <v>293</v>
      </c>
      <c r="C96" s="139" t="s">
        <v>44</v>
      </c>
      <c r="D96" s="140">
        <v>40543</v>
      </c>
      <c r="E96" s="139" t="s">
        <v>294</v>
      </c>
      <c r="F96" s="139" t="s">
        <v>295</v>
      </c>
      <c r="G96" s="141">
        <v>1</v>
      </c>
      <c r="H96" s="139" t="s">
        <v>76</v>
      </c>
      <c r="I96" s="141">
        <v>100</v>
      </c>
      <c r="J96" s="139" t="s">
        <v>49</v>
      </c>
      <c r="K96" s="139" t="s">
        <v>47</v>
      </c>
      <c r="L96" s="192">
        <v>474288</v>
      </c>
      <c r="M96" s="199" t="str">
        <f>VLOOKUP(L96,Table2[#All],2,TRUE)</f>
        <v>AreaD</v>
      </c>
      <c r="N96" s="141">
        <v>84</v>
      </c>
      <c r="O96" s="164" t="str">
        <f>VLOOKUP(N96,Table1[#All],2,TRUE)</f>
        <v>BedA</v>
      </c>
      <c r="P96" s="141">
        <v>1</v>
      </c>
      <c r="Q96" s="139" t="s">
        <v>50</v>
      </c>
      <c r="R96" s="139" t="s">
        <v>47</v>
      </c>
      <c r="S96" s="139" t="s">
        <v>47</v>
      </c>
      <c r="T96" s="141">
        <v>10990244.4</v>
      </c>
      <c r="U96" s="208">
        <v>257632.19999999925</v>
      </c>
      <c r="V96" s="139" t="s">
        <v>47</v>
      </c>
      <c r="W96" s="141">
        <v>10990250</v>
      </c>
      <c r="X96" s="141">
        <v>513080.96230000001</v>
      </c>
      <c r="Y96" s="208">
        <v>59944.021999999997</v>
      </c>
      <c r="Z96" s="139" t="s">
        <v>47</v>
      </c>
      <c r="AA96" s="141">
        <v>67</v>
      </c>
      <c r="AB96" s="141">
        <v>188.3</v>
      </c>
      <c r="AC96" s="141">
        <v>89286495.700000003</v>
      </c>
      <c r="AD96" s="200">
        <v>6.8759122339038012E-2</v>
      </c>
      <c r="AE96" s="141">
        <v>89228960.700000003</v>
      </c>
      <c r="AF96" s="141">
        <v>192.9</v>
      </c>
      <c r="AG96" s="200">
        <v>4.1252485089463137E-2</v>
      </c>
      <c r="AH96" s="139" t="s">
        <v>47</v>
      </c>
      <c r="AI96" s="141">
        <v>7809.9</v>
      </c>
      <c r="AJ96" s="139" t="s">
        <v>47</v>
      </c>
      <c r="AK96" s="139" t="s">
        <v>47</v>
      </c>
      <c r="AL96" s="139" t="s">
        <v>47</v>
      </c>
      <c r="AM96" s="139" t="s">
        <v>47</v>
      </c>
      <c r="AN96" s="141">
        <v>0</v>
      </c>
      <c r="AO96" s="141">
        <v>0</v>
      </c>
      <c r="AP96" s="141">
        <v>0</v>
      </c>
      <c r="AQ96" s="141">
        <v>0</v>
      </c>
      <c r="AR96" s="141">
        <v>11131.9</v>
      </c>
      <c r="AS96" s="141">
        <v>2760.8</v>
      </c>
      <c r="AT96" s="141">
        <v>8371.1</v>
      </c>
      <c r="AU96" s="141">
        <v>11131.9</v>
      </c>
      <c r="AV96" s="139" t="s">
        <v>114</v>
      </c>
      <c r="AW96" s="165" t="str">
        <f>VLOOKUP(AV96,Table3[#All],2,FALSE)</f>
        <v>Region6</v>
      </c>
      <c r="AX96" s="161" t="str">
        <f>IF(Key!$B$1&gt;0,CONCATENATE(O96,AW96),CONCATENATE(M96,AW96))</f>
        <v>AreaDRegion6</v>
      </c>
    </row>
    <row r="97" spans="1:50" s="137" customFormat="1" ht="29">
      <c r="A97" s="82" t="s">
        <v>330</v>
      </c>
      <c r="B97" s="83" t="s">
        <v>331</v>
      </c>
      <c r="C97" s="83" t="s">
        <v>44</v>
      </c>
      <c r="D97" s="84">
        <v>43100</v>
      </c>
      <c r="E97" s="83" t="s">
        <v>110</v>
      </c>
      <c r="F97" s="83" t="s">
        <v>111</v>
      </c>
      <c r="G97" s="85">
        <v>1</v>
      </c>
      <c r="H97" s="83" t="s">
        <v>112</v>
      </c>
      <c r="I97" s="85">
        <v>100</v>
      </c>
      <c r="J97" s="83" t="s">
        <v>49</v>
      </c>
      <c r="K97" s="83" t="s">
        <v>47</v>
      </c>
      <c r="L97" s="174">
        <v>826320</v>
      </c>
      <c r="M97" s="199" t="str">
        <f>VLOOKUP(L97,Table2[#All],2,TRUE)</f>
        <v>AreaE</v>
      </c>
      <c r="N97" s="85">
        <v>117</v>
      </c>
      <c r="O97" s="164" t="str">
        <f>VLOOKUP(N97,Table1[#All],2,TRUE)</f>
        <v>BedB</v>
      </c>
      <c r="P97" s="85">
        <v>2</v>
      </c>
      <c r="Q97" s="83" t="s">
        <v>113</v>
      </c>
      <c r="R97" s="83" t="s">
        <v>47</v>
      </c>
      <c r="S97" s="83" t="s">
        <v>47</v>
      </c>
      <c r="T97" s="85">
        <v>13518302.699999999</v>
      </c>
      <c r="U97" s="208">
        <v>861218.10000000149</v>
      </c>
      <c r="V97" s="83" t="s">
        <v>47</v>
      </c>
      <c r="W97" s="85">
        <v>13518300</v>
      </c>
      <c r="X97" s="85">
        <v>701079.32499999995</v>
      </c>
      <c r="Y97" s="208">
        <v>24599.037000000011</v>
      </c>
      <c r="Z97" s="83" t="s">
        <v>47</v>
      </c>
      <c r="AA97" s="85">
        <v>92</v>
      </c>
      <c r="AB97" s="85">
        <v>140.69999999999999</v>
      </c>
      <c r="AC97" s="85">
        <v>116232386.90000001</v>
      </c>
      <c r="AD97" s="200">
        <v>4.438334340192062E-2</v>
      </c>
      <c r="AE97" s="85">
        <v>117400294.7</v>
      </c>
      <c r="AF97" s="85">
        <v>144.1</v>
      </c>
      <c r="AG97" s="200">
        <v>4.0612516644474003E-2</v>
      </c>
      <c r="AH97" s="83" t="s">
        <v>47</v>
      </c>
      <c r="AI97" s="83" t="s">
        <v>47</v>
      </c>
      <c r="AJ97" s="83" t="s">
        <v>47</v>
      </c>
      <c r="AK97" s="83" t="s">
        <v>47</v>
      </c>
      <c r="AL97" s="83" t="s">
        <v>47</v>
      </c>
      <c r="AM97" s="83" t="s">
        <v>47</v>
      </c>
      <c r="AN97" s="85">
        <v>0</v>
      </c>
      <c r="AO97" s="85">
        <v>0</v>
      </c>
      <c r="AP97" s="85">
        <v>0</v>
      </c>
      <c r="AQ97" s="85">
        <v>0</v>
      </c>
      <c r="AR97" s="85">
        <v>11397.2</v>
      </c>
      <c r="AS97" s="85">
        <v>3723.8</v>
      </c>
      <c r="AT97" s="85">
        <v>7673.5</v>
      </c>
      <c r="AU97" s="85">
        <v>11397.2</v>
      </c>
      <c r="AV97" s="83" t="s">
        <v>114</v>
      </c>
      <c r="AW97" s="165" t="str">
        <f>VLOOKUP(AV97,Table3[#All],2,FALSE)</f>
        <v>Region6</v>
      </c>
      <c r="AX97" s="161" t="str">
        <f>IF(Key!$B$1&gt;0,CONCATENATE(O97,AW97),CONCATENATE(M97,AW97))</f>
        <v>AreaERegion6</v>
      </c>
    </row>
    <row r="98" spans="1:50" s="136" customFormat="1" ht="29">
      <c r="A98" s="112" t="s">
        <v>108</v>
      </c>
      <c r="B98" s="14" t="s">
        <v>109</v>
      </c>
      <c r="C98" s="14" t="s">
        <v>44</v>
      </c>
      <c r="D98" s="15">
        <v>42735</v>
      </c>
      <c r="E98" s="14" t="s">
        <v>110</v>
      </c>
      <c r="F98" s="14" t="s">
        <v>111</v>
      </c>
      <c r="G98" s="16">
        <v>1</v>
      </c>
      <c r="H98" s="14" t="s">
        <v>112</v>
      </c>
      <c r="I98" s="16">
        <v>100</v>
      </c>
      <c r="J98" s="14" t="s">
        <v>49</v>
      </c>
      <c r="K98" s="14" t="s">
        <v>49</v>
      </c>
      <c r="L98" s="185">
        <v>826320</v>
      </c>
      <c r="M98" s="199" t="str">
        <f>VLOOKUP(L98,Table2[#All],2,TRUE)</f>
        <v>AreaE</v>
      </c>
      <c r="N98" s="16">
        <v>117</v>
      </c>
      <c r="O98" s="164" t="str">
        <f>VLOOKUP(N98,Table1[#All],2,TRUE)</f>
        <v>BedB</v>
      </c>
      <c r="P98" s="16">
        <v>2</v>
      </c>
      <c r="Q98" s="14" t="s">
        <v>113</v>
      </c>
      <c r="R98" s="14" t="s">
        <v>47</v>
      </c>
      <c r="S98" s="14" t="s">
        <v>47</v>
      </c>
      <c r="T98" s="16">
        <v>14257431.4</v>
      </c>
      <c r="U98" s="209">
        <v>36258.299999998882</v>
      </c>
      <c r="V98" s="14" t="s">
        <v>47</v>
      </c>
      <c r="W98" s="16">
        <v>14257430</v>
      </c>
      <c r="X98" s="16">
        <v>726349.93400000001</v>
      </c>
      <c r="Y98" s="209">
        <v>99601.050000000047</v>
      </c>
      <c r="Z98" s="14" t="s">
        <v>47</v>
      </c>
      <c r="AA98" s="16">
        <v>93</v>
      </c>
      <c r="AB98" s="16">
        <v>146.80000000000001</v>
      </c>
      <c r="AC98" s="16">
        <v>121281355.40000001</v>
      </c>
      <c r="AD98" s="201">
        <v>7.6761731619254592E-2</v>
      </c>
      <c r="AE98" s="16">
        <v>121281363.59999999</v>
      </c>
      <c r="AF98" s="16">
        <v>149.9</v>
      </c>
      <c r="AG98" s="201">
        <v>6.4294631710361941E-2</v>
      </c>
      <c r="AH98" s="14" t="s">
        <v>47</v>
      </c>
      <c r="AI98" s="14" t="s">
        <v>47</v>
      </c>
      <c r="AJ98" s="14" t="s">
        <v>47</v>
      </c>
      <c r="AK98" s="14" t="s">
        <v>47</v>
      </c>
      <c r="AL98" s="14" t="s">
        <v>47</v>
      </c>
      <c r="AM98" s="14" t="s">
        <v>47</v>
      </c>
      <c r="AN98" s="16">
        <v>0</v>
      </c>
      <c r="AO98" s="16">
        <v>0</v>
      </c>
      <c r="AP98" s="16">
        <v>0</v>
      </c>
      <c r="AQ98" s="16">
        <v>0</v>
      </c>
      <c r="AR98" s="16">
        <v>11951</v>
      </c>
      <c r="AS98" s="16">
        <v>3858</v>
      </c>
      <c r="AT98" s="16">
        <v>8093</v>
      </c>
      <c r="AU98" s="16">
        <v>11951</v>
      </c>
      <c r="AV98" s="14" t="s">
        <v>114</v>
      </c>
      <c r="AW98" s="165" t="str">
        <f>VLOOKUP(AV98,Table3[#All],2,FALSE)</f>
        <v>Region6</v>
      </c>
      <c r="AX98" s="161" t="str">
        <f>IF(Key!$B$1&gt;0,CONCATENATE(O98,AW98),CONCATENATE(M98,AW98))</f>
        <v>AreaERegion6</v>
      </c>
    </row>
    <row r="99" spans="1:50" s="136" customFormat="1" ht="29.5" thickBot="1">
      <c r="A99" s="114" t="s">
        <v>108</v>
      </c>
      <c r="B99" s="17" t="s">
        <v>109</v>
      </c>
      <c r="C99" s="17" t="s">
        <v>44</v>
      </c>
      <c r="D99" s="18">
        <v>42369</v>
      </c>
      <c r="E99" s="17" t="s">
        <v>110</v>
      </c>
      <c r="F99" s="17" t="s">
        <v>111</v>
      </c>
      <c r="G99" s="19">
        <v>1</v>
      </c>
      <c r="H99" s="17" t="s">
        <v>112</v>
      </c>
      <c r="I99" s="19">
        <v>100</v>
      </c>
      <c r="J99" s="17" t="s">
        <v>49</v>
      </c>
      <c r="K99" s="17" t="s">
        <v>49</v>
      </c>
      <c r="L99" s="187">
        <v>826320</v>
      </c>
      <c r="M99" s="199" t="str">
        <f>VLOOKUP(L99,Table2[#All],2,TRUE)</f>
        <v>AreaE</v>
      </c>
      <c r="N99" s="19">
        <v>117</v>
      </c>
      <c r="O99" s="164" t="str">
        <f>VLOOKUP(N99,Table1[#All],2,TRUE)</f>
        <v>BedB</v>
      </c>
      <c r="P99" s="19">
        <v>1.43</v>
      </c>
      <c r="Q99" s="17" t="s">
        <v>113</v>
      </c>
      <c r="R99" s="17" t="s">
        <v>47</v>
      </c>
      <c r="S99" s="17" t="s">
        <v>47</v>
      </c>
      <c r="T99" s="19">
        <v>14293689.699999999</v>
      </c>
      <c r="U99" s="209">
        <v>944103.60000000149</v>
      </c>
      <c r="V99" s="17" t="s">
        <v>47</v>
      </c>
      <c r="W99" s="19">
        <v>14293690</v>
      </c>
      <c r="X99" s="19">
        <v>825950.98400000005</v>
      </c>
      <c r="Y99" s="209">
        <v>258576.07699999993</v>
      </c>
      <c r="Z99" s="17" t="s">
        <v>47</v>
      </c>
      <c r="AA99" s="19">
        <v>87</v>
      </c>
      <c r="AB99" s="19">
        <v>159</v>
      </c>
      <c r="AC99" s="19">
        <v>131365173.59999999</v>
      </c>
      <c r="AD99" s="201">
        <v>0.18124004625836487</v>
      </c>
      <c r="AE99" s="19">
        <v>134495876.09999999</v>
      </c>
      <c r="AF99" s="19">
        <v>160.19999999999999</v>
      </c>
      <c r="AG99" s="201">
        <v>0.14055793991416318</v>
      </c>
      <c r="AH99" s="17" t="s">
        <v>47</v>
      </c>
      <c r="AI99" s="19">
        <v>17685</v>
      </c>
      <c r="AJ99" s="17" t="s">
        <v>47</v>
      </c>
      <c r="AK99" s="17" t="s">
        <v>47</v>
      </c>
      <c r="AL99" s="19">
        <v>108639.99</v>
      </c>
      <c r="AM99" s="19">
        <v>0.13</v>
      </c>
      <c r="AN99" s="19">
        <v>0</v>
      </c>
      <c r="AO99" s="19">
        <v>0</v>
      </c>
      <c r="AP99" s="19">
        <v>0</v>
      </c>
      <c r="AQ99" s="19">
        <v>0</v>
      </c>
      <c r="AR99" s="19">
        <v>12500.6</v>
      </c>
      <c r="AS99" s="19">
        <v>4387</v>
      </c>
      <c r="AT99" s="19">
        <v>8113.6</v>
      </c>
      <c r="AU99" s="19">
        <v>12500.6</v>
      </c>
      <c r="AV99" s="17" t="s">
        <v>114</v>
      </c>
      <c r="AW99" s="165" t="str">
        <f>VLOOKUP(AV99,Table3[#All],2,FALSE)</f>
        <v>Region6</v>
      </c>
      <c r="AX99" s="161" t="str">
        <f>IF(Key!$B$1&gt;0,CONCATENATE(O99,AW99),CONCATENATE(M99,AW99))</f>
        <v>AreaERegion6</v>
      </c>
    </row>
    <row r="100" spans="1:50" s="142" customFormat="1" ht="30" customHeight="1">
      <c r="A100" s="82" t="s">
        <v>297</v>
      </c>
      <c r="B100" s="83" t="s">
        <v>298</v>
      </c>
      <c r="C100" s="83" t="s">
        <v>44</v>
      </c>
      <c r="D100" s="84">
        <v>43100</v>
      </c>
      <c r="E100" s="83" t="s">
        <v>164</v>
      </c>
      <c r="F100" s="83" t="s">
        <v>299</v>
      </c>
      <c r="G100" s="85">
        <v>1</v>
      </c>
      <c r="H100" s="83" t="s">
        <v>148</v>
      </c>
      <c r="I100" s="85">
        <v>100</v>
      </c>
      <c r="J100" s="83" t="s">
        <v>49</v>
      </c>
      <c r="K100" s="83" t="s">
        <v>49</v>
      </c>
      <c r="L100" s="174">
        <v>367669</v>
      </c>
      <c r="M100" s="199" t="str">
        <f>VLOOKUP(L100,Table2[#All],2,TRUE)</f>
        <v>AreaD</v>
      </c>
      <c r="N100" s="85">
        <v>205</v>
      </c>
      <c r="O100" s="164" t="str">
        <f>VLOOKUP(N100,Table1[#All],2,TRUE)</f>
        <v>BedB</v>
      </c>
      <c r="P100" s="85">
        <v>1</v>
      </c>
      <c r="Q100" s="83" t="s">
        <v>50</v>
      </c>
      <c r="R100" s="83" t="s">
        <v>47</v>
      </c>
      <c r="S100" s="83" t="s">
        <v>47</v>
      </c>
      <c r="T100" s="85">
        <v>9059394.3000000007</v>
      </c>
      <c r="U100" s="208">
        <v>587615.69999999925</v>
      </c>
      <c r="V100" s="83" t="s">
        <v>47</v>
      </c>
      <c r="W100" s="85">
        <v>9059395</v>
      </c>
      <c r="X100" s="85">
        <v>538611.65339999995</v>
      </c>
      <c r="Y100" s="208">
        <v>40041.244800000102</v>
      </c>
      <c r="Z100" s="83" t="s">
        <v>47</v>
      </c>
      <c r="AA100" s="85">
        <v>65</v>
      </c>
      <c r="AB100" s="85">
        <v>230.6</v>
      </c>
      <c r="AC100" s="85">
        <v>84771822.599999994</v>
      </c>
      <c r="AD100" s="200">
        <v>6.619310915540122E-2</v>
      </c>
      <c r="AE100" s="85">
        <v>85342003.200000003</v>
      </c>
      <c r="AF100" s="85">
        <v>240.5</v>
      </c>
      <c r="AG100" s="200">
        <v>6.0179757717858558E-2</v>
      </c>
      <c r="AH100" s="83" t="s">
        <v>47</v>
      </c>
      <c r="AI100" s="83" t="s">
        <v>47</v>
      </c>
      <c r="AJ100" s="85">
        <v>1252956.44</v>
      </c>
      <c r="AK100" s="85">
        <v>3.41</v>
      </c>
      <c r="AL100" s="83" t="s">
        <v>47</v>
      </c>
      <c r="AM100" s="83" t="s">
        <v>47</v>
      </c>
      <c r="AN100" s="85">
        <v>0</v>
      </c>
      <c r="AO100" s="85">
        <v>0</v>
      </c>
      <c r="AP100" s="85">
        <v>0</v>
      </c>
      <c r="AQ100" s="85">
        <v>0</v>
      </c>
      <c r="AR100" s="85">
        <v>8003.3</v>
      </c>
      <c r="AS100" s="85">
        <v>2860.8</v>
      </c>
      <c r="AT100" s="85">
        <v>5142.3999999999996</v>
      </c>
      <c r="AU100" s="85">
        <v>8003.3</v>
      </c>
      <c r="AV100" s="83" t="s">
        <v>120</v>
      </c>
      <c r="AW100" s="165" t="str">
        <f>VLOOKUP(AV100,Table3[#All],2,FALSE)</f>
        <v>Region5</v>
      </c>
      <c r="AX100" s="161" t="str">
        <f>IF(Key!$B$1&gt;0,CONCATENATE(O100,AW100),CONCATENATE(M100,AW100))</f>
        <v>AreaDRegion5</v>
      </c>
    </row>
    <row r="101" spans="1:50" s="143" customFormat="1" ht="29.5" thickBot="1">
      <c r="A101" s="104" t="s">
        <v>297</v>
      </c>
      <c r="B101" s="35" t="s">
        <v>298</v>
      </c>
      <c r="C101" s="35" t="s">
        <v>44</v>
      </c>
      <c r="D101" s="36">
        <v>40178</v>
      </c>
      <c r="E101" s="35" t="s">
        <v>164</v>
      </c>
      <c r="F101" s="35" t="s">
        <v>299</v>
      </c>
      <c r="G101" s="37">
        <v>1</v>
      </c>
      <c r="H101" s="35" t="s">
        <v>148</v>
      </c>
      <c r="I101" s="37">
        <v>100</v>
      </c>
      <c r="J101" s="35" t="s">
        <v>49</v>
      </c>
      <c r="K101" s="35" t="s">
        <v>49</v>
      </c>
      <c r="L101" s="182">
        <v>367669</v>
      </c>
      <c r="M101" s="199" t="str">
        <f>VLOOKUP(L101,Table2[#All],2,TRUE)</f>
        <v>AreaD</v>
      </c>
      <c r="N101" s="37">
        <v>254.7</v>
      </c>
      <c r="O101" s="164" t="str">
        <f>VLOOKUP(N101,Table1[#All],2,TRUE)</f>
        <v>BedB</v>
      </c>
      <c r="P101" s="37">
        <v>1</v>
      </c>
      <c r="Q101" s="35" t="s">
        <v>50</v>
      </c>
      <c r="R101" s="35" t="s">
        <v>47</v>
      </c>
      <c r="S101" s="35" t="s">
        <v>47</v>
      </c>
      <c r="T101" s="37">
        <v>10405497</v>
      </c>
      <c r="U101" s="209">
        <v>-758913.90000000037</v>
      </c>
      <c r="V101" s="35" t="s">
        <v>47</v>
      </c>
      <c r="W101" s="37">
        <v>10405500</v>
      </c>
      <c r="X101" s="37">
        <v>645704.05599999998</v>
      </c>
      <c r="Y101" s="209">
        <v>39206.944000000018</v>
      </c>
      <c r="Z101" s="35" t="s">
        <v>47</v>
      </c>
      <c r="AA101" s="37">
        <v>40</v>
      </c>
      <c r="AB101" s="37">
        <v>272.2</v>
      </c>
      <c r="AC101" s="37">
        <v>100073965.5</v>
      </c>
      <c r="AD101" s="201">
        <v>1.312831397181359E-2</v>
      </c>
      <c r="AE101" s="37">
        <v>97307656.299999997</v>
      </c>
      <c r="AF101" s="37">
        <v>278.5</v>
      </c>
      <c r="AG101" s="201">
        <v>2.9616724738675958E-2</v>
      </c>
      <c r="AH101" s="35" t="s">
        <v>47</v>
      </c>
      <c r="AI101" s="35" t="s">
        <v>47</v>
      </c>
      <c r="AJ101" s="35" t="s">
        <v>47</v>
      </c>
      <c r="AK101" s="35" t="s">
        <v>47</v>
      </c>
      <c r="AL101" s="35" t="s">
        <v>47</v>
      </c>
      <c r="AM101" s="35" t="s">
        <v>47</v>
      </c>
      <c r="AN101" s="37">
        <v>0</v>
      </c>
      <c r="AO101" s="37">
        <v>0</v>
      </c>
      <c r="AP101" s="37">
        <v>0</v>
      </c>
      <c r="AQ101" s="37">
        <v>0</v>
      </c>
      <c r="AR101" s="37">
        <v>9336.2000000000007</v>
      </c>
      <c r="AS101" s="37">
        <v>3429.6</v>
      </c>
      <c r="AT101" s="37">
        <v>5906.5</v>
      </c>
      <c r="AU101" s="37">
        <v>9336.2000000000007</v>
      </c>
      <c r="AV101" s="35" t="s">
        <v>120</v>
      </c>
      <c r="AW101" s="165" t="str">
        <f>VLOOKUP(AV101,Table3[#All],2,FALSE)</f>
        <v>Region5</v>
      </c>
      <c r="AX101" s="161" t="str">
        <f>IF(Key!$B$1&gt;0,CONCATENATE(O101,AW101),CONCATENATE(M101,AW101))</f>
        <v>AreaDRegion5</v>
      </c>
    </row>
    <row r="102" spans="1:50" s="142" customFormat="1" ht="29">
      <c r="A102" s="90" t="s">
        <v>253</v>
      </c>
      <c r="B102" s="91" t="s">
        <v>254</v>
      </c>
      <c r="C102" s="91" t="s">
        <v>44</v>
      </c>
      <c r="D102" s="92">
        <v>41274</v>
      </c>
      <c r="E102" s="91" t="s">
        <v>255</v>
      </c>
      <c r="F102" s="91" t="s">
        <v>256</v>
      </c>
      <c r="G102" s="93">
        <v>0</v>
      </c>
      <c r="H102" s="91" t="s">
        <v>257</v>
      </c>
      <c r="I102" s="93">
        <v>100</v>
      </c>
      <c r="J102" s="91" t="s">
        <v>49</v>
      </c>
      <c r="K102" s="91" t="s">
        <v>49</v>
      </c>
      <c r="L102" s="177">
        <v>1694182</v>
      </c>
      <c r="M102" s="199" t="str">
        <f>VLOOKUP(L102,Table2[#All],2,TRUE)</f>
        <v>AreaF</v>
      </c>
      <c r="N102" s="93">
        <v>1087.2</v>
      </c>
      <c r="O102" s="164" t="str">
        <f>VLOOKUP(N102,Table1[#All],2,TRUE)</f>
        <v>BedD</v>
      </c>
      <c r="P102" s="93">
        <v>2</v>
      </c>
      <c r="Q102" s="91" t="s">
        <v>50</v>
      </c>
      <c r="R102" s="91" t="s">
        <v>47</v>
      </c>
      <c r="S102" s="91" t="s">
        <v>47</v>
      </c>
      <c r="T102" s="93">
        <v>56611167.200000003</v>
      </c>
      <c r="U102" s="208">
        <v>-1268198.1000000015</v>
      </c>
      <c r="V102" s="91" t="s">
        <v>47</v>
      </c>
      <c r="W102" s="93">
        <v>56611170</v>
      </c>
      <c r="X102" s="93">
        <v>1995971.0072999999</v>
      </c>
      <c r="Y102" s="208">
        <v>131051.98099999991</v>
      </c>
      <c r="Z102" s="91" t="s">
        <v>47</v>
      </c>
      <c r="AA102" s="93">
        <v>41</v>
      </c>
      <c r="AB102" s="93">
        <v>219.6</v>
      </c>
      <c r="AC102" s="93">
        <v>392754426.69999999</v>
      </c>
      <c r="AD102" s="200">
        <v>2.1861505585941878E-2</v>
      </c>
      <c r="AE102" s="93">
        <v>399598926</v>
      </c>
      <c r="AF102" s="93">
        <v>227.7</v>
      </c>
      <c r="AG102" s="200">
        <v>-1.2449977767896766E-2</v>
      </c>
      <c r="AH102" s="91" t="s">
        <v>47</v>
      </c>
      <c r="AI102" s="91" t="s">
        <v>47</v>
      </c>
      <c r="AJ102" s="93">
        <v>5133746.3</v>
      </c>
      <c r="AK102" s="93">
        <v>2.87</v>
      </c>
      <c r="AL102" s="91" t="s">
        <v>47</v>
      </c>
      <c r="AM102" s="91" t="s">
        <v>47</v>
      </c>
      <c r="AN102" s="93">
        <v>17900</v>
      </c>
      <c r="AO102" s="93">
        <v>105492</v>
      </c>
      <c r="AP102" s="93">
        <v>0</v>
      </c>
      <c r="AQ102" s="93">
        <v>0</v>
      </c>
      <c r="AR102" s="93">
        <v>42736</v>
      </c>
      <c r="AS102" s="93">
        <v>10601.6</v>
      </c>
      <c r="AT102" s="93">
        <v>32134.5</v>
      </c>
      <c r="AU102" s="93">
        <v>42736</v>
      </c>
      <c r="AV102" s="91" t="s">
        <v>120</v>
      </c>
      <c r="AW102" s="165" t="str">
        <f>VLOOKUP(AV102,Table3[#All],2,FALSE)</f>
        <v>Region5</v>
      </c>
      <c r="AX102" s="161" t="str">
        <f>IF(Key!$B$1&gt;0,CONCATENATE(O102,AW102),CONCATENATE(M102,AW102))</f>
        <v>AreaFRegion5</v>
      </c>
    </row>
    <row r="103" spans="1:50" s="143" customFormat="1" ht="29.5" thickBot="1">
      <c r="A103" s="95" t="s">
        <v>253</v>
      </c>
      <c r="B103" s="32" t="s">
        <v>254</v>
      </c>
      <c r="C103" s="32" t="s">
        <v>44</v>
      </c>
      <c r="D103" s="33">
        <v>40908</v>
      </c>
      <c r="E103" s="32" t="s">
        <v>255</v>
      </c>
      <c r="F103" s="32" t="s">
        <v>256</v>
      </c>
      <c r="G103" s="34">
        <v>0</v>
      </c>
      <c r="H103" s="32" t="s">
        <v>257</v>
      </c>
      <c r="I103" s="34">
        <v>100</v>
      </c>
      <c r="J103" s="32" t="s">
        <v>49</v>
      </c>
      <c r="K103" s="32" t="s">
        <v>49</v>
      </c>
      <c r="L103" s="179">
        <v>1694182</v>
      </c>
      <c r="M103" s="199" t="str">
        <f>VLOOKUP(L103,Table2[#All],2,TRUE)</f>
        <v>AreaF</v>
      </c>
      <c r="N103" s="34">
        <v>1087.2</v>
      </c>
      <c r="O103" s="164" t="str">
        <f>VLOOKUP(N103,Table1[#All],2,TRUE)</f>
        <v>BedD</v>
      </c>
      <c r="P103" s="34">
        <v>2</v>
      </c>
      <c r="Q103" s="32" t="s">
        <v>50</v>
      </c>
      <c r="R103" s="32" t="s">
        <v>47</v>
      </c>
      <c r="S103" s="32" t="s">
        <v>47</v>
      </c>
      <c r="T103" s="34">
        <v>55342969.100000001</v>
      </c>
      <c r="U103" s="209">
        <v>1394050.1999999955</v>
      </c>
      <c r="V103" s="32" t="s">
        <v>47</v>
      </c>
      <c r="W103" s="34">
        <v>55342980</v>
      </c>
      <c r="X103" s="34">
        <v>2127022.9882999999</v>
      </c>
      <c r="Y103" s="209">
        <v>-84726.455899999943</v>
      </c>
      <c r="Z103" s="32" t="s">
        <v>47</v>
      </c>
      <c r="AA103" s="34">
        <v>38</v>
      </c>
      <c r="AB103" s="34">
        <v>224.5</v>
      </c>
      <c r="AC103" s="34">
        <v>401532532.39999998</v>
      </c>
      <c r="AD103" s="201">
        <v>-9.341359293317638E-3</v>
      </c>
      <c r="AE103" s="34">
        <v>413819853.89999998</v>
      </c>
      <c r="AF103" s="34">
        <v>224.9</v>
      </c>
      <c r="AG103" s="201">
        <v>-1.9954648526077125E-2</v>
      </c>
      <c r="AH103" s="32" t="s">
        <v>47</v>
      </c>
      <c r="AI103" s="32" t="s">
        <v>47</v>
      </c>
      <c r="AJ103" s="32" t="s">
        <v>47</v>
      </c>
      <c r="AK103" s="32" t="s">
        <v>47</v>
      </c>
      <c r="AL103" s="32" t="s">
        <v>47</v>
      </c>
      <c r="AM103" s="32" t="s">
        <v>47</v>
      </c>
      <c r="AN103" s="34">
        <v>17900</v>
      </c>
      <c r="AO103" s="34">
        <v>105492</v>
      </c>
      <c r="AP103" s="34">
        <v>0</v>
      </c>
      <c r="AQ103" s="34">
        <v>0</v>
      </c>
      <c r="AR103" s="34">
        <v>42712.2</v>
      </c>
      <c r="AS103" s="34">
        <v>11297.6</v>
      </c>
      <c r="AT103" s="34">
        <v>31414.6</v>
      </c>
      <c r="AU103" s="34">
        <v>42712.2</v>
      </c>
      <c r="AV103" s="32" t="s">
        <v>120</v>
      </c>
      <c r="AW103" s="165" t="str">
        <f>VLOOKUP(AV103,Table3[#All],2,FALSE)</f>
        <v>Region5</v>
      </c>
      <c r="AX103" s="161" t="str">
        <f>IF(Key!$B$1&gt;0,CONCATENATE(O103,AW103),CONCATENATE(M103,AW103))</f>
        <v>AreaFRegion5</v>
      </c>
    </row>
    <row r="104" spans="1:50" s="142" customFormat="1" ht="43.5">
      <c r="A104" s="82" t="s">
        <v>162</v>
      </c>
      <c r="B104" s="83" t="s">
        <v>163</v>
      </c>
      <c r="C104" s="83" t="s">
        <v>44</v>
      </c>
      <c r="D104" s="84">
        <v>43100</v>
      </c>
      <c r="E104" s="83" t="s">
        <v>164</v>
      </c>
      <c r="F104" s="83" t="s">
        <v>165</v>
      </c>
      <c r="G104" s="85">
        <v>15</v>
      </c>
      <c r="H104" s="83" t="s">
        <v>166</v>
      </c>
      <c r="I104" s="85">
        <v>100</v>
      </c>
      <c r="J104" s="83" t="s">
        <v>49</v>
      </c>
      <c r="K104" s="83" t="s">
        <v>49</v>
      </c>
      <c r="L104" s="174">
        <v>1335452</v>
      </c>
      <c r="M104" s="199" t="str">
        <f>VLOOKUP(L104,Table2[#All],2,TRUE)</f>
        <v>AreaF</v>
      </c>
      <c r="N104" s="85">
        <v>397</v>
      </c>
      <c r="O104" s="164" t="str">
        <f>VLOOKUP(N104,Table1[#All],2,TRUE)</f>
        <v>BedC</v>
      </c>
      <c r="P104" s="85">
        <v>2</v>
      </c>
      <c r="Q104" s="83" t="s">
        <v>50</v>
      </c>
      <c r="R104" s="83" t="s">
        <v>47</v>
      </c>
      <c r="S104" s="83" t="s">
        <v>47</v>
      </c>
      <c r="T104" s="85">
        <v>21354143.199999999</v>
      </c>
      <c r="U104" s="208">
        <v>1854609.8000000007</v>
      </c>
      <c r="V104" s="83" t="s">
        <v>47</v>
      </c>
      <c r="W104" s="85">
        <v>21354150</v>
      </c>
      <c r="X104" s="85">
        <v>1166326.3662776002</v>
      </c>
      <c r="Y104" s="208">
        <v>74241.937575659715</v>
      </c>
      <c r="Z104" s="83" t="s">
        <v>47</v>
      </c>
      <c r="AA104" s="85">
        <v>99</v>
      </c>
      <c r="AB104" s="85">
        <v>141.9</v>
      </c>
      <c r="AC104" s="85">
        <v>189492982.09999999</v>
      </c>
      <c r="AD104" s="200">
        <v>6.7662751303327703E-2</v>
      </c>
      <c r="AE104" s="85">
        <v>191387896.40000001</v>
      </c>
      <c r="AF104" s="85">
        <v>146.5</v>
      </c>
      <c r="AG104" s="200">
        <v>6.3897763578274758E-2</v>
      </c>
      <c r="AH104" s="83" t="s">
        <v>47</v>
      </c>
      <c r="AI104" s="83" t="s">
        <v>47</v>
      </c>
      <c r="AJ104" s="83" t="s">
        <v>47</v>
      </c>
      <c r="AK104" s="83" t="s">
        <v>47</v>
      </c>
      <c r="AL104" s="83" t="s">
        <v>47</v>
      </c>
      <c r="AM104" s="83" t="s">
        <v>47</v>
      </c>
      <c r="AN104" s="85">
        <v>0</v>
      </c>
      <c r="AO104" s="85">
        <v>0</v>
      </c>
      <c r="AP104" s="85">
        <v>0</v>
      </c>
      <c r="AQ104" s="85">
        <v>0</v>
      </c>
      <c r="AR104" s="85">
        <v>18316.3</v>
      </c>
      <c r="AS104" s="85">
        <v>6194.9</v>
      </c>
      <c r="AT104" s="85">
        <v>12121.4</v>
      </c>
      <c r="AU104" s="85">
        <v>18316.3</v>
      </c>
      <c r="AV104" s="83" t="s">
        <v>120</v>
      </c>
      <c r="AW104" s="165" t="str">
        <f>VLOOKUP(AV104,Table3[#All],2,FALSE)</f>
        <v>Region5</v>
      </c>
      <c r="AX104" s="161" t="str">
        <f>IF(Key!$B$1&gt;0,CONCATENATE(O104,AW104),CONCATENATE(M104,AW104))</f>
        <v>AreaFRegion5</v>
      </c>
    </row>
    <row r="105" spans="1:50" s="143" customFormat="1" ht="43.5">
      <c r="A105" s="114" t="s">
        <v>162</v>
      </c>
      <c r="B105" s="17" t="s">
        <v>163</v>
      </c>
      <c r="C105" s="17" t="s">
        <v>44</v>
      </c>
      <c r="D105" s="18">
        <v>42369</v>
      </c>
      <c r="E105" s="17" t="s">
        <v>164</v>
      </c>
      <c r="F105" s="17" t="s">
        <v>165</v>
      </c>
      <c r="G105" s="19">
        <v>15</v>
      </c>
      <c r="H105" s="17" t="s">
        <v>166</v>
      </c>
      <c r="I105" s="19">
        <v>100</v>
      </c>
      <c r="J105" s="17" t="s">
        <v>49</v>
      </c>
      <c r="K105" s="17" t="s">
        <v>49</v>
      </c>
      <c r="L105" s="187">
        <v>1288091.5</v>
      </c>
      <c r="M105" s="199" t="str">
        <f>VLOOKUP(L105,Table2[#All],2,TRUE)</f>
        <v>AreaF</v>
      </c>
      <c r="N105" s="19">
        <v>397</v>
      </c>
      <c r="O105" s="164" t="str">
        <f>VLOOKUP(N105,Table1[#All],2,TRUE)</f>
        <v>BedC</v>
      </c>
      <c r="P105" s="19">
        <v>2</v>
      </c>
      <c r="Q105" s="17" t="s">
        <v>50</v>
      </c>
      <c r="R105" s="17" t="s">
        <v>47</v>
      </c>
      <c r="S105" s="17" t="s">
        <v>47</v>
      </c>
      <c r="T105" s="19">
        <v>22472284.699999999</v>
      </c>
      <c r="U105" s="209">
        <v>-354448.5</v>
      </c>
      <c r="V105" s="17" t="s">
        <v>47</v>
      </c>
      <c r="W105" s="19">
        <v>22472290</v>
      </c>
      <c r="X105" s="19">
        <v>1263560.5462040401</v>
      </c>
      <c r="Y105" s="209">
        <v>-1822.1812992400955</v>
      </c>
      <c r="Z105" s="17" t="s">
        <v>47</v>
      </c>
      <c r="AA105" s="19">
        <v>96</v>
      </c>
      <c r="AB105" s="19">
        <v>157.6</v>
      </c>
      <c r="AC105" s="19">
        <v>203031499.19999999</v>
      </c>
      <c r="AD105" s="201">
        <v>-6.9013939239013361E-3</v>
      </c>
      <c r="AE105" s="19">
        <v>211324522.69999999</v>
      </c>
      <c r="AF105" s="19">
        <v>160.69999999999999</v>
      </c>
      <c r="AG105" s="201">
        <v>5.6924882629108081E-2</v>
      </c>
      <c r="AH105" s="17" t="s">
        <v>47</v>
      </c>
      <c r="AI105" s="17" t="s">
        <v>47</v>
      </c>
      <c r="AJ105" s="17" t="s">
        <v>47</v>
      </c>
      <c r="AK105" s="17" t="s">
        <v>47</v>
      </c>
      <c r="AL105" s="17" t="s">
        <v>47</v>
      </c>
      <c r="AM105" s="17" t="s">
        <v>47</v>
      </c>
      <c r="AN105" s="19">
        <v>0</v>
      </c>
      <c r="AO105" s="19">
        <v>0</v>
      </c>
      <c r="AP105" s="19">
        <v>0</v>
      </c>
      <c r="AQ105" s="19">
        <v>0</v>
      </c>
      <c r="AR105" s="19">
        <v>19467.400000000001</v>
      </c>
      <c r="AS105" s="19">
        <v>6711.4</v>
      </c>
      <c r="AT105" s="19">
        <v>12756</v>
      </c>
      <c r="AU105" s="19">
        <v>19467.400000000001</v>
      </c>
      <c r="AV105" s="17" t="s">
        <v>120</v>
      </c>
      <c r="AW105" s="165" t="str">
        <f>VLOOKUP(AV105,Table3[#All],2,FALSE)</f>
        <v>Region5</v>
      </c>
      <c r="AX105" s="161" t="str">
        <f>IF(Key!$B$1&gt;0,CONCATENATE(O105,AW105),CONCATENATE(M105,AW105))</f>
        <v>AreaFRegion5</v>
      </c>
    </row>
    <row r="106" spans="1:50" s="143" customFormat="1" ht="44" thickBot="1">
      <c r="A106" s="94" t="s">
        <v>162</v>
      </c>
      <c r="B106" s="26" t="s">
        <v>163</v>
      </c>
      <c r="C106" s="26" t="s">
        <v>44</v>
      </c>
      <c r="D106" s="27">
        <v>41274</v>
      </c>
      <c r="E106" s="26" t="s">
        <v>164</v>
      </c>
      <c r="F106" s="26" t="s">
        <v>165</v>
      </c>
      <c r="G106" s="28">
        <v>15</v>
      </c>
      <c r="H106" s="26" t="s">
        <v>166</v>
      </c>
      <c r="I106" s="28">
        <v>100</v>
      </c>
      <c r="J106" s="26" t="s">
        <v>49</v>
      </c>
      <c r="K106" s="26" t="s">
        <v>49</v>
      </c>
      <c r="L106" s="178">
        <v>1143379</v>
      </c>
      <c r="M106" s="199" t="str">
        <f>VLOOKUP(L106,Table2[#All],2,TRUE)</f>
        <v>AreaF</v>
      </c>
      <c r="N106" s="28">
        <v>397</v>
      </c>
      <c r="O106" s="164" t="str">
        <f>VLOOKUP(N106,Table1[#All],2,TRUE)</f>
        <v>BedC</v>
      </c>
      <c r="P106" s="28">
        <v>2</v>
      </c>
      <c r="Q106" s="26" t="s">
        <v>50</v>
      </c>
      <c r="R106" s="26" t="s">
        <v>47</v>
      </c>
      <c r="S106" s="26" t="s">
        <v>47</v>
      </c>
      <c r="T106" s="28">
        <v>20279683.399999999</v>
      </c>
      <c r="U106" s="209">
        <v>-457490.89999999851</v>
      </c>
      <c r="V106" s="26" t="s">
        <v>47</v>
      </c>
      <c r="W106" s="28">
        <v>20279690</v>
      </c>
      <c r="X106" s="28">
        <v>1036791.028792</v>
      </c>
      <c r="Y106" s="209">
        <v>116067.00501899992</v>
      </c>
      <c r="Z106" s="26" t="s">
        <v>47</v>
      </c>
      <c r="AA106" s="28">
        <v>98</v>
      </c>
      <c r="AB106" s="28">
        <v>151.19999999999999</v>
      </c>
      <c r="AC106" s="28">
        <v>172873391.09999999</v>
      </c>
      <c r="AD106" s="201">
        <v>5.4919030408150472E-2</v>
      </c>
      <c r="AE106" s="28">
        <v>194497262.90000001</v>
      </c>
      <c r="AF106" s="28">
        <v>159.9</v>
      </c>
      <c r="AG106" s="201">
        <v>3.7383177570093104E-3</v>
      </c>
      <c r="AH106" s="26" t="s">
        <v>47</v>
      </c>
      <c r="AI106" s="26" t="s">
        <v>47</v>
      </c>
      <c r="AJ106" s="28">
        <v>2413824.2799999998</v>
      </c>
      <c r="AK106" s="28">
        <v>2.11</v>
      </c>
      <c r="AL106" s="26" t="s">
        <v>47</v>
      </c>
      <c r="AM106" s="26" t="s">
        <v>47</v>
      </c>
      <c r="AN106" s="28">
        <v>0</v>
      </c>
      <c r="AO106" s="28">
        <v>0</v>
      </c>
      <c r="AP106" s="28">
        <v>0</v>
      </c>
      <c r="AQ106" s="28">
        <v>0</v>
      </c>
      <c r="AR106" s="28">
        <v>17018.3</v>
      </c>
      <c r="AS106" s="28">
        <v>5506.9</v>
      </c>
      <c r="AT106" s="28">
        <v>11511.4</v>
      </c>
      <c r="AU106" s="28">
        <v>17018.3</v>
      </c>
      <c r="AV106" s="26" t="s">
        <v>120</v>
      </c>
      <c r="AW106" s="165" t="str">
        <f>VLOOKUP(AV106,Table3[#All],2,FALSE)</f>
        <v>Region5</v>
      </c>
      <c r="AX106" s="161" t="str">
        <f>IF(Key!$B$1&gt;0,CONCATENATE(O106,AW106),CONCATENATE(M106,AW106))</f>
        <v>AreaFRegion5</v>
      </c>
    </row>
    <row r="107" spans="1:50" s="142" customFormat="1" ht="29">
      <c r="A107" s="82" t="s">
        <v>121</v>
      </c>
      <c r="B107" s="83" t="s">
        <v>122</v>
      </c>
      <c r="C107" s="83" t="s">
        <v>44</v>
      </c>
      <c r="D107" s="84">
        <v>43100</v>
      </c>
      <c r="E107" s="83" t="s">
        <v>123</v>
      </c>
      <c r="F107" s="83" t="s">
        <v>124</v>
      </c>
      <c r="G107" s="85">
        <v>4</v>
      </c>
      <c r="H107" s="83" t="s">
        <v>80</v>
      </c>
      <c r="I107" s="85">
        <v>100</v>
      </c>
      <c r="J107" s="83" t="s">
        <v>49</v>
      </c>
      <c r="K107" s="83" t="s">
        <v>49</v>
      </c>
      <c r="L107" s="174">
        <v>681239</v>
      </c>
      <c r="M107" s="199" t="str">
        <f>VLOOKUP(L107,Table2[#All],2,TRUE)</f>
        <v>AreaE</v>
      </c>
      <c r="N107" s="85">
        <v>323.39999999999998</v>
      </c>
      <c r="O107" s="164" t="str">
        <f>VLOOKUP(N107,Table1[#All],2,TRUE)</f>
        <v>BedC</v>
      </c>
      <c r="P107" s="85">
        <v>1</v>
      </c>
      <c r="Q107" s="83" t="s">
        <v>50</v>
      </c>
      <c r="R107" s="83" t="s">
        <v>47</v>
      </c>
      <c r="S107" s="83" t="s">
        <v>47</v>
      </c>
      <c r="T107" s="85">
        <v>18400892.5</v>
      </c>
      <c r="U107" s="208">
        <v>14116.5</v>
      </c>
      <c r="V107" s="83" t="s">
        <v>47</v>
      </c>
      <c r="W107" s="85">
        <v>18400890</v>
      </c>
      <c r="X107" s="85">
        <v>1011233.165</v>
      </c>
      <c r="Y107" s="208">
        <v>-61385.070000000065</v>
      </c>
      <c r="Z107" s="83" t="s">
        <v>47</v>
      </c>
      <c r="AA107" s="85">
        <v>28</v>
      </c>
      <c r="AB107" s="85">
        <v>240.6</v>
      </c>
      <c r="AC107" s="85">
        <v>163907169.40000001</v>
      </c>
      <c r="AD107" s="200">
        <v>-3.8591205290973374E-2</v>
      </c>
      <c r="AE107" s="85">
        <v>165644248.09999999</v>
      </c>
      <c r="AF107" s="85">
        <v>244.4</v>
      </c>
      <c r="AG107" s="200">
        <v>6.8242470453679011E-2</v>
      </c>
      <c r="AH107" s="83" t="s">
        <v>47</v>
      </c>
      <c r="AI107" s="83" t="s">
        <v>47</v>
      </c>
      <c r="AJ107" s="85">
        <v>2032603.42</v>
      </c>
      <c r="AK107" s="85">
        <v>2.98</v>
      </c>
      <c r="AL107" s="83" t="s">
        <v>47</v>
      </c>
      <c r="AM107" s="83" t="s">
        <v>47</v>
      </c>
      <c r="AN107" s="85">
        <v>0</v>
      </c>
      <c r="AO107" s="85">
        <v>0</v>
      </c>
      <c r="AP107" s="85">
        <v>0</v>
      </c>
      <c r="AQ107" s="85">
        <v>0</v>
      </c>
      <c r="AR107" s="85">
        <v>15816.1</v>
      </c>
      <c r="AS107" s="85">
        <v>5371.1</v>
      </c>
      <c r="AT107" s="85">
        <v>10445</v>
      </c>
      <c r="AU107" s="85">
        <v>15816.1</v>
      </c>
      <c r="AV107" s="83" t="s">
        <v>120</v>
      </c>
      <c r="AW107" s="165" t="str">
        <f>VLOOKUP(AV107,Table3[#All],2,FALSE)</f>
        <v>Region5</v>
      </c>
      <c r="AX107" s="161" t="str">
        <f>IF(Key!$B$1&gt;0,CONCATENATE(O107,AW107),CONCATENATE(M107,AW107))</f>
        <v>AreaERegion5</v>
      </c>
    </row>
    <row r="108" spans="1:50" s="55" customFormat="1" ht="30">
      <c r="A108" s="144" t="s">
        <v>121</v>
      </c>
      <c r="B108" s="45" t="s">
        <v>122</v>
      </c>
      <c r="C108" s="45" t="s">
        <v>44</v>
      </c>
      <c r="D108" s="49">
        <v>42735</v>
      </c>
      <c r="E108" s="45" t="s">
        <v>123</v>
      </c>
      <c r="F108" s="45" t="s">
        <v>124</v>
      </c>
      <c r="G108" s="52">
        <v>4</v>
      </c>
      <c r="H108" s="45" t="s">
        <v>80</v>
      </c>
      <c r="I108" s="52">
        <v>100</v>
      </c>
      <c r="J108" s="45" t="s">
        <v>49</v>
      </c>
      <c r="K108" s="45" t="s">
        <v>49</v>
      </c>
      <c r="L108" s="193">
        <v>606308.19999999995</v>
      </c>
      <c r="M108" s="199" t="str">
        <f>VLOOKUP(L108,Table2[#All],2,TRUE)</f>
        <v>AreaE</v>
      </c>
      <c r="N108" s="52">
        <v>323.39999999999998</v>
      </c>
      <c r="O108" s="164" t="str">
        <f>VLOOKUP(N108,Table1[#All],2,TRUE)</f>
        <v>BedC</v>
      </c>
      <c r="P108" s="52">
        <v>1</v>
      </c>
      <c r="Q108" s="45" t="s">
        <v>50</v>
      </c>
      <c r="R108" s="45" t="s">
        <v>47</v>
      </c>
      <c r="S108" s="45" t="s">
        <v>47</v>
      </c>
      <c r="T108" s="52">
        <v>18415009</v>
      </c>
      <c r="U108" s="210">
        <v>-1233264.3000000007</v>
      </c>
      <c r="V108" s="45" t="s">
        <v>47</v>
      </c>
      <c r="W108" s="52">
        <v>18415010</v>
      </c>
      <c r="X108" s="52">
        <v>949848.09499999997</v>
      </c>
      <c r="Y108" s="210">
        <v>-33719.593999999925</v>
      </c>
      <c r="Z108" s="45" t="s">
        <v>47</v>
      </c>
      <c r="AA108" s="52">
        <v>18</v>
      </c>
      <c r="AB108" s="52">
        <v>260.3</v>
      </c>
      <c r="AC108" s="52">
        <v>157816827.80000001</v>
      </c>
      <c r="AD108" s="202">
        <v>-5.0452680189170561E-2</v>
      </c>
      <c r="AE108" s="52">
        <v>173469582.09999999</v>
      </c>
      <c r="AF108" s="52">
        <v>262.3</v>
      </c>
      <c r="AG108" s="202">
        <v>0.1638508128785463</v>
      </c>
      <c r="AH108" s="45" t="s">
        <v>47</v>
      </c>
      <c r="AI108" s="45" t="s">
        <v>47</v>
      </c>
      <c r="AJ108" s="52">
        <v>1986028.36</v>
      </c>
      <c r="AK108" s="52">
        <v>3.28</v>
      </c>
      <c r="AL108" s="45" t="s">
        <v>47</v>
      </c>
      <c r="AM108" s="45" t="s">
        <v>47</v>
      </c>
      <c r="AN108" s="52">
        <v>0</v>
      </c>
      <c r="AO108" s="52">
        <v>0</v>
      </c>
      <c r="AP108" s="52">
        <v>0</v>
      </c>
      <c r="AQ108" s="52">
        <v>0</v>
      </c>
      <c r="AR108" s="52">
        <v>15498.1</v>
      </c>
      <c r="AS108" s="52">
        <v>5045.1000000000004</v>
      </c>
      <c r="AT108" s="52">
        <v>10453</v>
      </c>
      <c r="AU108" s="52">
        <v>15498.1</v>
      </c>
      <c r="AV108" s="45" t="s">
        <v>120</v>
      </c>
      <c r="AW108" s="165" t="str">
        <f>VLOOKUP(AV108,Table3[#All],2,FALSE)</f>
        <v>Region5</v>
      </c>
      <c r="AX108" s="161" t="str">
        <f>IF(Key!$B$1&gt;0,CONCATENATE(O108,AW108),CONCATENATE(M108,AW108))</f>
        <v>AreaERegion5</v>
      </c>
    </row>
    <row r="109" spans="1:50" s="145" customFormat="1" ht="30" customHeight="1">
      <c r="A109" s="69" t="s">
        <v>121</v>
      </c>
      <c r="B109" s="23" t="s">
        <v>122</v>
      </c>
      <c r="C109" s="23" t="s">
        <v>44</v>
      </c>
      <c r="D109" s="24">
        <v>41639</v>
      </c>
      <c r="E109" s="23" t="s">
        <v>123</v>
      </c>
      <c r="F109" s="23" t="s">
        <v>124</v>
      </c>
      <c r="G109" s="25">
        <v>4</v>
      </c>
      <c r="H109" s="23" t="s">
        <v>80</v>
      </c>
      <c r="I109" s="25">
        <v>100</v>
      </c>
      <c r="J109" s="23" t="s">
        <v>49</v>
      </c>
      <c r="K109" s="23" t="s">
        <v>49</v>
      </c>
      <c r="L109" s="169">
        <v>479587</v>
      </c>
      <c r="M109" s="199" t="str">
        <f>VLOOKUP(L109,Table2[#All],2,TRUE)</f>
        <v>AreaD</v>
      </c>
      <c r="N109" s="25">
        <v>323.39999999999998</v>
      </c>
      <c r="O109" s="164" t="str">
        <f>VLOOKUP(N109,Table1[#All],2,TRUE)</f>
        <v>BedC</v>
      </c>
      <c r="P109" s="25">
        <v>1</v>
      </c>
      <c r="Q109" s="23" t="s">
        <v>50</v>
      </c>
      <c r="R109" s="23" t="s">
        <v>47</v>
      </c>
      <c r="S109" s="23" t="s">
        <v>47</v>
      </c>
      <c r="T109" s="25">
        <v>16870280.800000001</v>
      </c>
      <c r="U109" s="209">
        <v>381189.19999999925</v>
      </c>
      <c r="V109" s="23" t="s">
        <v>47</v>
      </c>
      <c r="W109" s="25">
        <v>16870280</v>
      </c>
      <c r="X109" s="25">
        <v>900197.46699999995</v>
      </c>
      <c r="Y109" s="209">
        <v>14634.516000000061</v>
      </c>
      <c r="Z109" s="23" t="s">
        <v>47</v>
      </c>
      <c r="AA109" s="25">
        <v>6</v>
      </c>
      <c r="AB109" s="25">
        <v>307.7</v>
      </c>
      <c r="AC109" s="25">
        <v>147581151.80000001</v>
      </c>
      <c r="AD109" s="201">
        <v>1.8384817142428577E-2</v>
      </c>
      <c r="AE109" s="25">
        <v>194905855.80000001</v>
      </c>
      <c r="AF109" s="25">
        <v>305.7</v>
      </c>
      <c r="AG109" s="201">
        <v>1.6725635252492727E-2</v>
      </c>
      <c r="AH109" s="23" t="s">
        <v>47</v>
      </c>
      <c r="AI109" s="25">
        <v>28885.3</v>
      </c>
      <c r="AJ109" s="25">
        <v>1553009.7</v>
      </c>
      <c r="AK109" s="25">
        <v>3.24</v>
      </c>
      <c r="AL109" s="23" t="s">
        <v>47</v>
      </c>
      <c r="AM109" s="23" t="s">
        <v>47</v>
      </c>
      <c r="AN109" s="25">
        <v>0</v>
      </c>
      <c r="AO109" s="25">
        <v>0</v>
      </c>
      <c r="AP109" s="25">
        <v>0</v>
      </c>
      <c r="AQ109" s="25">
        <v>0</v>
      </c>
      <c r="AR109" s="25">
        <v>14357.5</v>
      </c>
      <c r="AS109" s="25">
        <v>4781.3999999999996</v>
      </c>
      <c r="AT109" s="25">
        <v>9576.2000000000007</v>
      </c>
      <c r="AU109" s="25">
        <v>14357.5</v>
      </c>
      <c r="AV109" s="23" t="s">
        <v>120</v>
      </c>
      <c r="AW109" s="165" t="str">
        <f>VLOOKUP(AV109,Table3[#All],2,FALSE)</f>
        <v>Region5</v>
      </c>
      <c r="AX109" s="161" t="str">
        <f>IF(Key!$B$1&gt;0,CONCATENATE(O109,AW109),CONCATENATE(M109,AW109))</f>
        <v>AreaDRegion5</v>
      </c>
    </row>
    <row r="110" spans="1:50" s="145" customFormat="1" ht="29.5" thickBot="1">
      <c r="A110" s="104" t="s">
        <v>121</v>
      </c>
      <c r="B110" s="35" t="s">
        <v>122</v>
      </c>
      <c r="C110" s="35" t="s">
        <v>44</v>
      </c>
      <c r="D110" s="36">
        <v>40178</v>
      </c>
      <c r="E110" s="35" t="s">
        <v>123</v>
      </c>
      <c r="F110" s="35" t="s">
        <v>124</v>
      </c>
      <c r="G110" s="37">
        <v>4</v>
      </c>
      <c r="H110" s="35" t="s">
        <v>80</v>
      </c>
      <c r="I110" s="37">
        <v>100</v>
      </c>
      <c r="J110" s="35" t="s">
        <v>49</v>
      </c>
      <c r="K110" s="35" t="s">
        <v>49</v>
      </c>
      <c r="L110" s="182">
        <v>479587</v>
      </c>
      <c r="M110" s="199" t="str">
        <f>VLOOKUP(L110,Table2[#All],2,TRUE)</f>
        <v>AreaD</v>
      </c>
      <c r="N110" s="37">
        <v>323.39999999999998</v>
      </c>
      <c r="O110" s="164" t="str">
        <f>VLOOKUP(N110,Table1[#All],2,TRUE)</f>
        <v>BedC</v>
      </c>
      <c r="P110" s="37">
        <v>1</v>
      </c>
      <c r="Q110" s="35" t="s">
        <v>50</v>
      </c>
      <c r="R110" s="35" t="s">
        <v>47</v>
      </c>
      <c r="S110" s="35" t="s">
        <v>47</v>
      </c>
      <c r="T110" s="37">
        <v>17885498.899999999</v>
      </c>
      <c r="U110" s="209">
        <v>979934.40000000224</v>
      </c>
      <c r="V110" s="35" t="s">
        <v>47</v>
      </c>
      <c r="W110" s="37">
        <v>17885500</v>
      </c>
      <c r="X110" s="37">
        <v>1029292.042</v>
      </c>
      <c r="Y110" s="209">
        <v>52419.998000000021</v>
      </c>
      <c r="Z110" s="35" t="s">
        <v>47</v>
      </c>
      <c r="AA110" s="37">
        <v>2</v>
      </c>
      <c r="AB110" s="37">
        <v>341.9</v>
      </c>
      <c r="AC110" s="37">
        <v>163954534</v>
      </c>
      <c r="AD110" s="201">
        <v>4.9759666726089419E-2</v>
      </c>
      <c r="AE110" s="37">
        <v>219752695.5</v>
      </c>
      <c r="AF110" s="37">
        <v>343.1</v>
      </c>
      <c r="AG110" s="201">
        <v>3.5965158752458433E-2</v>
      </c>
      <c r="AH110" s="35" t="s">
        <v>47</v>
      </c>
      <c r="AI110" s="37">
        <v>40718.9</v>
      </c>
      <c r="AJ110" s="35" t="s">
        <v>47</v>
      </c>
      <c r="AK110" s="35" t="s">
        <v>47</v>
      </c>
      <c r="AL110" s="35" t="s">
        <v>47</v>
      </c>
      <c r="AM110" s="35" t="s">
        <v>47</v>
      </c>
      <c r="AN110" s="37">
        <v>0</v>
      </c>
      <c r="AO110" s="37">
        <v>0</v>
      </c>
      <c r="AP110" s="37">
        <v>0</v>
      </c>
      <c r="AQ110" s="37">
        <v>0</v>
      </c>
      <c r="AR110" s="37">
        <v>15619.5</v>
      </c>
      <c r="AS110" s="37">
        <v>5467.1</v>
      </c>
      <c r="AT110" s="37">
        <v>10152.4</v>
      </c>
      <c r="AU110" s="37">
        <v>15619.5</v>
      </c>
      <c r="AV110" s="35" t="s">
        <v>120</v>
      </c>
      <c r="AW110" s="165" t="str">
        <f>VLOOKUP(AV110,Table3[#All],2,FALSE)</f>
        <v>Region5</v>
      </c>
      <c r="AX110" s="161" t="str">
        <f>IF(Key!$B$1&gt;0,CONCATENATE(O110,AW110),CONCATENATE(M110,AW110))</f>
        <v>AreaDRegion5</v>
      </c>
    </row>
    <row r="111" spans="1:50" s="146" customFormat="1" ht="29">
      <c r="A111" s="82" t="s">
        <v>282</v>
      </c>
      <c r="B111" s="83" t="s">
        <v>283</v>
      </c>
      <c r="C111" s="83" t="s">
        <v>44</v>
      </c>
      <c r="D111" s="84">
        <v>43100</v>
      </c>
      <c r="E111" s="83" t="s">
        <v>284</v>
      </c>
      <c r="F111" s="83" t="s">
        <v>285</v>
      </c>
      <c r="G111" s="85">
        <v>1</v>
      </c>
      <c r="H111" s="83" t="s">
        <v>286</v>
      </c>
      <c r="I111" s="85">
        <v>100</v>
      </c>
      <c r="J111" s="83" t="s">
        <v>49</v>
      </c>
      <c r="K111" s="83" t="s">
        <v>49</v>
      </c>
      <c r="L111" s="174">
        <v>1033972.8</v>
      </c>
      <c r="M111" s="199" t="str">
        <f>VLOOKUP(L111,Table2[#All],2,TRUE)</f>
        <v>AreaF</v>
      </c>
      <c r="N111" s="85">
        <v>678.3</v>
      </c>
      <c r="O111" s="164" t="str">
        <f>VLOOKUP(N111,Table1[#All],2,TRUE)</f>
        <v>BedD</v>
      </c>
      <c r="P111" s="85">
        <v>2</v>
      </c>
      <c r="Q111" s="83" t="s">
        <v>50</v>
      </c>
      <c r="R111" s="83" t="s">
        <v>47</v>
      </c>
      <c r="S111" s="83" t="s">
        <v>47</v>
      </c>
      <c r="T111" s="85">
        <v>24707391.600000001</v>
      </c>
      <c r="U111" s="208">
        <v>921559.69999999925</v>
      </c>
      <c r="V111" s="83" t="s">
        <v>47</v>
      </c>
      <c r="W111" s="85">
        <v>24707390</v>
      </c>
      <c r="X111" s="85">
        <v>1579678.4240000001</v>
      </c>
      <c r="Y111" s="208">
        <v>-98592.850000000093</v>
      </c>
      <c r="Z111" s="83" t="s">
        <v>47</v>
      </c>
      <c r="AA111" s="85">
        <v>59</v>
      </c>
      <c r="AB111" s="85">
        <v>234.3</v>
      </c>
      <c r="AC111" s="85">
        <v>242269472.69999999</v>
      </c>
      <c r="AD111" s="200">
        <v>-2.8506869003379422E-2</v>
      </c>
      <c r="AE111" s="85">
        <v>248404690.30000001</v>
      </c>
      <c r="AF111" s="85">
        <v>237.4</v>
      </c>
      <c r="AG111" s="200">
        <v>7.0113591852722312E-2</v>
      </c>
      <c r="AH111" s="83" t="s">
        <v>47</v>
      </c>
      <c r="AI111" s="83" t="s">
        <v>47</v>
      </c>
      <c r="AJ111" s="85">
        <v>2944431.42</v>
      </c>
      <c r="AK111" s="85">
        <v>2.85</v>
      </c>
      <c r="AL111" s="83" t="s">
        <v>47</v>
      </c>
      <c r="AM111" s="83" t="s">
        <v>47</v>
      </c>
      <c r="AN111" s="85">
        <v>0</v>
      </c>
      <c r="AO111" s="85">
        <v>0</v>
      </c>
      <c r="AP111" s="85">
        <v>0</v>
      </c>
      <c r="AQ111" s="85">
        <v>0</v>
      </c>
      <c r="AR111" s="85">
        <v>22415.200000000001</v>
      </c>
      <c r="AS111" s="85">
        <v>8390.4</v>
      </c>
      <c r="AT111" s="85">
        <v>14024.8</v>
      </c>
      <c r="AU111" s="85">
        <v>22415.200000000001</v>
      </c>
      <c r="AV111" s="83" t="s">
        <v>120</v>
      </c>
      <c r="AW111" s="165" t="str">
        <f>VLOOKUP(AV111,Table3[#All],2,FALSE)</f>
        <v>Region5</v>
      </c>
      <c r="AX111" s="161" t="str">
        <f>IF(Key!$B$1&gt;0,CONCATENATE(O111,AW111),CONCATENATE(M111,AW111))</f>
        <v>AreaFRegion5</v>
      </c>
    </row>
    <row r="112" spans="1:50" s="145" customFormat="1" ht="29.5" thickBot="1">
      <c r="A112" s="95" t="s">
        <v>282</v>
      </c>
      <c r="B112" s="32" t="s">
        <v>283</v>
      </c>
      <c r="C112" s="32" t="s">
        <v>44</v>
      </c>
      <c r="D112" s="33">
        <v>40908</v>
      </c>
      <c r="E112" s="32" t="s">
        <v>284</v>
      </c>
      <c r="F112" s="32" t="s">
        <v>285</v>
      </c>
      <c r="G112" s="34">
        <v>1</v>
      </c>
      <c r="H112" s="32" t="s">
        <v>286</v>
      </c>
      <c r="I112" s="34">
        <v>100</v>
      </c>
      <c r="J112" s="32" t="s">
        <v>49</v>
      </c>
      <c r="K112" s="32" t="s">
        <v>49</v>
      </c>
      <c r="L112" s="179">
        <v>931695</v>
      </c>
      <c r="M112" s="199" t="str">
        <f>VLOOKUP(L112,Table2[#All],2,TRUE)</f>
        <v>AreaE</v>
      </c>
      <c r="N112" s="34">
        <v>678.3</v>
      </c>
      <c r="O112" s="164" t="str">
        <f>VLOOKUP(N112,Table1[#All],2,TRUE)</f>
        <v>BedD</v>
      </c>
      <c r="P112" s="34">
        <v>2</v>
      </c>
      <c r="Q112" s="32" t="s">
        <v>50</v>
      </c>
      <c r="R112" s="32" t="s">
        <v>47</v>
      </c>
      <c r="S112" s="32" t="s">
        <v>47</v>
      </c>
      <c r="T112" s="34">
        <v>25840511</v>
      </c>
      <c r="U112" s="209">
        <v>1837084.8999999985</v>
      </c>
      <c r="V112" s="32" t="s">
        <v>47</v>
      </c>
      <c r="W112" s="34">
        <v>25840510</v>
      </c>
      <c r="X112" s="34">
        <v>1440993.969</v>
      </c>
      <c r="Y112" s="209">
        <v>-48657.983999999939</v>
      </c>
      <c r="Z112" s="32" t="s">
        <v>47</v>
      </c>
      <c r="AA112" s="34">
        <v>47</v>
      </c>
      <c r="AB112" s="34">
        <v>249.3</v>
      </c>
      <c r="AC112" s="34">
        <v>232267231.30000001</v>
      </c>
      <c r="AD112" s="201">
        <v>6.0013634475540876E-3</v>
      </c>
      <c r="AE112" s="34">
        <v>254394848.40000001</v>
      </c>
      <c r="AF112" s="34">
        <v>248.8</v>
      </c>
      <c r="AG112" s="201">
        <v>4.4017607042816896E-3</v>
      </c>
      <c r="AH112" s="32" t="s">
        <v>47</v>
      </c>
      <c r="AI112" s="34">
        <v>32125.1</v>
      </c>
      <c r="AJ112" s="34">
        <v>2929674</v>
      </c>
      <c r="AK112" s="34">
        <v>3.14</v>
      </c>
      <c r="AL112" s="34">
        <v>193908.91</v>
      </c>
      <c r="AM112" s="34">
        <v>0.21</v>
      </c>
      <c r="AN112" s="34">
        <v>0</v>
      </c>
      <c r="AO112" s="34">
        <v>0</v>
      </c>
      <c r="AP112" s="34">
        <v>0</v>
      </c>
      <c r="AQ112" s="34">
        <v>0</v>
      </c>
      <c r="AR112" s="34">
        <v>22321.8</v>
      </c>
      <c r="AS112" s="34">
        <v>7653.8</v>
      </c>
      <c r="AT112" s="34">
        <v>14668</v>
      </c>
      <c r="AU112" s="34">
        <v>22321.8</v>
      </c>
      <c r="AV112" s="32" t="s">
        <v>120</v>
      </c>
      <c r="AW112" s="165" t="str">
        <f>VLOOKUP(AV112,Table3[#All],2,FALSE)</f>
        <v>Region5</v>
      </c>
      <c r="AX112" s="161" t="str">
        <f>IF(Key!$B$1&gt;0,CONCATENATE(O112,AW112),CONCATENATE(M112,AW112))</f>
        <v>AreaERegion5</v>
      </c>
    </row>
    <row r="113" spans="1:50" s="146" customFormat="1" ht="29.5" thickBot="1">
      <c r="A113" s="73" t="s">
        <v>125</v>
      </c>
      <c r="B113" s="74" t="s">
        <v>126</v>
      </c>
      <c r="C113" s="74" t="s">
        <v>44</v>
      </c>
      <c r="D113" s="75">
        <v>42735</v>
      </c>
      <c r="E113" s="74" t="s">
        <v>127</v>
      </c>
      <c r="F113" s="74" t="s">
        <v>128</v>
      </c>
      <c r="G113" s="76">
        <v>1</v>
      </c>
      <c r="H113" s="74" t="s">
        <v>78</v>
      </c>
      <c r="I113" s="76">
        <v>100</v>
      </c>
      <c r="J113" s="74" t="s">
        <v>49</v>
      </c>
      <c r="K113" s="74" t="s">
        <v>47</v>
      </c>
      <c r="L113" s="172">
        <v>88750</v>
      </c>
      <c r="M113" s="199" t="str">
        <f>VLOOKUP(L113,Table2[#All],2,TRUE)</f>
        <v>AreaB</v>
      </c>
      <c r="N113" s="76">
        <v>25</v>
      </c>
      <c r="O113" s="164" t="str">
        <f>VLOOKUP(N113,Table1[#All],2,TRUE)</f>
        <v>BedA</v>
      </c>
      <c r="P113" s="76">
        <v>0</v>
      </c>
      <c r="Q113" s="74" t="s">
        <v>50</v>
      </c>
      <c r="R113" s="74" t="s">
        <v>47</v>
      </c>
      <c r="S113" s="74" t="s">
        <v>47</v>
      </c>
      <c r="T113" s="76">
        <v>1722620.6</v>
      </c>
      <c r="U113" s="208">
        <v>-229395.80000000005</v>
      </c>
      <c r="V113" s="74" t="s">
        <v>47</v>
      </c>
      <c r="W113" s="76">
        <v>1722621</v>
      </c>
      <c r="X113" s="76">
        <v>61291.145097499997</v>
      </c>
      <c r="Y113" s="208">
        <v>-18320.864751699999</v>
      </c>
      <c r="Z113" s="74" t="s">
        <v>47</v>
      </c>
      <c r="AA113" s="76">
        <v>91</v>
      </c>
      <c r="AB113" s="76">
        <v>135.30000000000001</v>
      </c>
      <c r="AC113" s="76">
        <v>12006696.6</v>
      </c>
      <c r="AD113" s="200">
        <v>-0.27840815114980089</v>
      </c>
      <c r="AE113" s="76">
        <v>11938282.6</v>
      </c>
      <c r="AF113" s="76">
        <v>137.9</v>
      </c>
      <c r="AG113" s="200">
        <v>0.13324952859836575</v>
      </c>
      <c r="AH113" s="74" t="s">
        <v>47</v>
      </c>
      <c r="AI113" s="74" t="s">
        <v>47</v>
      </c>
      <c r="AJ113" s="76">
        <v>165887.71</v>
      </c>
      <c r="AK113" s="76">
        <v>1.87</v>
      </c>
      <c r="AL113" s="74" t="s">
        <v>47</v>
      </c>
      <c r="AM113" s="74" t="s">
        <v>47</v>
      </c>
      <c r="AN113" s="76">
        <v>0</v>
      </c>
      <c r="AO113" s="76">
        <v>0</v>
      </c>
      <c r="AP113" s="76">
        <v>0</v>
      </c>
      <c r="AQ113" s="76">
        <v>0</v>
      </c>
      <c r="AR113" s="76">
        <v>1593.2</v>
      </c>
      <c r="AS113" s="76">
        <v>325.5</v>
      </c>
      <c r="AT113" s="76">
        <v>1267.7</v>
      </c>
      <c r="AU113" s="76">
        <v>1593.2</v>
      </c>
      <c r="AV113" s="74" t="s">
        <v>120</v>
      </c>
      <c r="AW113" s="165" t="str">
        <f>VLOOKUP(AV113,Table3[#All],2,FALSE)</f>
        <v>Region5</v>
      </c>
      <c r="AX113" s="161" t="str">
        <f>IF(Key!$B$1&gt;0,CONCATENATE(O113,AW113),CONCATENATE(M113,AW113))</f>
        <v>AreaBRegion5</v>
      </c>
    </row>
    <row r="114" spans="1:50" s="146" customFormat="1" ht="29.5" thickBot="1">
      <c r="A114" s="108" t="s">
        <v>287</v>
      </c>
      <c r="B114" s="109" t="s">
        <v>288</v>
      </c>
      <c r="C114" s="109" t="s">
        <v>44</v>
      </c>
      <c r="D114" s="110">
        <v>40908</v>
      </c>
      <c r="E114" s="109" t="s">
        <v>289</v>
      </c>
      <c r="F114" s="109" t="s">
        <v>290</v>
      </c>
      <c r="G114" s="111">
        <v>7</v>
      </c>
      <c r="H114" s="109" t="s">
        <v>291</v>
      </c>
      <c r="I114" s="111">
        <v>100</v>
      </c>
      <c r="J114" s="109" t="s">
        <v>49</v>
      </c>
      <c r="K114" s="109" t="s">
        <v>49</v>
      </c>
      <c r="L114" s="184">
        <v>749359</v>
      </c>
      <c r="M114" s="199" t="str">
        <f>VLOOKUP(L114,Table2[#All],2,TRUE)</f>
        <v>AreaE</v>
      </c>
      <c r="N114" s="111">
        <v>514.70000000000005</v>
      </c>
      <c r="O114" s="164" t="str">
        <f>VLOOKUP(N114,Table1[#All],2,TRUE)</f>
        <v>BedD</v>
      </c>
      <c r="P114" s="111">
        <v>1</v>
      </c>
      <c r="Q114" s="109" t="s">
        <v>50</v>
      </c>
      <c r="R114" s="109" t="s">
        <v>47</v>
      </c>
      <c r="S114" s="109" t="s">
        <v>47</v>
      </c>
      <c r="T114" s="111">
        <v>21330343.100000001</v>
      </c>
      <c r="U114" s="208">
        <v>-1882730.700000003</v>
      </c>
      <c r="V114" s="109" t="s">
        <v>47</v>
      </c>
      <c r="W114" s="111">
        <v>21330350</v>
      </c>
      <c r="X114" s="111">
        <v>991542.85144999996</v>
      </c>
      <c r="Y114" s="208">
        <v>-176390.66024999996</v>
      </c>
      <c r="Z114" s="109" t="s">
        <v>47</v>
      </c>
      <c r="AA114" s="111">
        <v>42</v>
      </c>
      <c r="AB114" s="111">
        <v>229.4</v>
      </c>
      <c r="AC114" s="111">
        <v>171933424.59999999</v>
      </c>
      <c r="AD114" s="200">
        <v>-0.16272986942601445</v>
      </c>
      <c r="AE114" s="111">
        <v>176549655.30000001</v>
      </c>
      <c r="AF114" s="111">
        <v>230.9</v>
      </c>
      <c r="AG114" s="200">
        <v>-4.621658359764394E-2</v>
      </c>
      <c r="AH114" s="109" t="s">
        <v>47</v>
      </c>
      <c r="AI114" s="111">
        <v>21664</v>
      </c>
      <c r="AJ114" s="111">
        <v>2224818.19</v>
      </c>
      <c r="AK114" s="111">
        <v>2.97</v>
      </c>
      <c r="AL114" s="111">
        <v>167280.39000000001</v>
      </c>
      <c r="AM114" s="111">
        <v>0.22</v>
      </c>
      <c r="AN114" s="111">
        <v>0</v>
      </c>
      <c r="AO114" s="111">
        <v>0</v>
      </c>
      <c r="AP114" s="111">
        <v>0</v>
      </c>
      <c r="AQ114" s="111">
        <v>0</v>
      </c>
      <c r="AR114" s="111">
        <v>17374.400000000001</v>
      </c>
      <c r="AS114" s="111">
        <v>5266.6</v>
      </c>
      <c r="AT114" s="111">
        <v>12107.8</v>
      </c>
      <c r="AU114" s="111">
        <v>17374.400000000001</v>
      </c>
      <c r="AV114" s="109" t="s">
        <v>120</v>
      </c>
      <c r="AW114" s="165" t="str">
        <f>VLOOKUP(AV114,Table3[#All],2,FALSE)</f>
        <v>Region5</v>
      </c>
      <c r="AX114" s="161" t="str">
        <f>IF(Key!$B$1&gt;0,CONCATENATE(O114,AW114),CONCATENATE(M114,AW114))</f>
        <v>AreaERegion5</v>
      </c>
    </row>
    <row r="115" spans="1:50" s="151" customFormat="1" ht="29">
      <c r="A115" s="147" t="s">
        <v>115</v>
      </c>
      <c r="B115" s="148" t="s">
        <v>116</v>
      </c>
      <c r="C115" s="148" t="s">
        <v>44</v>
      </c>
      <c r="D115" s="149">
        <v>42735</v>
      </c>
      <c r="E115" s="148" t="s">
        <v>117</v>
      </c>
      <c r="F115" s="148" t="s">
        <v>118</v>
      </c>
      <c r="G115" s="150">
        <v>4</v>
      </c>
      <c r="H115" s="148" t="s">
        <v>119</v>
      </c>
      <c r="I115" s="150">
        <v>100</v>
      </c>
      <c r="J115" s="148" t="s">
        <v>49</v>
      </c>
      <c r="K115" s="148" t="s">
        <v>49</v>
      </c>
      <c r="L115" s="194">
        <v>1952709</v>
      </c>
      <c r="M115" s="199" t="str">
        <f>VLOOKUP(L115,Table2[#All],2,TRUE)</f>
        <v>AreaF</v>
      </c>
      <c r="N115" s="150">
        <v>923.5</v>
      </c>
      <c r="O115" s="164" t="str">
        <f>VLOOKUP(N115,Table1[#All],2,TRUE)</f>
        <v>BedD</v>
      </c>
      <c r="P115" s="150">
        <v>6</v>
      </c>
      <c r="Q115" s="148" t="s">
        <v>50</v>
      </c>
      <c r="R115" s="148" t="s">
        <v>47</v>
      </c>
      <c r="S115" s="148" t="s">
        <v>47</v>
      </c>
      <c r="T115" s="150">
        <v>55455320.399999999</v>
      </c>
      <c r="U115" s="211">
        <v>-4196386.3999999985</v>
      </c>
      <c r="V115" s="148" t="s">
        <v>47</v>
      </c>
      <c r="W115" s="150">
        <v>55455330</v>
      </c>
      <c r="X115" s="150">
        <v>2603355.3399899998</v>
      </c>
      <c r="Y115" s="211">
        <v>-136306.07639000006</v>
      </c>
      <c r="Z115" s="148" t="s">
        <v>47</v>
      </c>
      <c r="AA115" s="150">
        <v>59</v>
      </c>
      <c r="AB115" s="150">
        <v>230.2</v>
      </c>
      <c r="AC115" s="150">
        <v>449549110.10000002</v>
      </c>
      <c r="AD115" s="203">
        <v>-6.6291867096727825E-2</v>
      </c>
      <c r="AE115" s="150">
        <v>448175949.89999998</v>
      </c>
      <c r="AF115" s="150">
        <v>234.2</v>
      </c>
      <c r="AG115" s="203">
        <v>8.6939571150097511E-2</v>
      </c>
      <c r="AH115" s="148" t="s">
        <v>47</v>
      </c>
      <c r="AI115" s="148" t="s">
        <v>47</v>
      </c>
      <c r="AJ115" s="150">
        <v>5906191.4199999999</v>
      </c>
      <c r="AK115" s="150">
        <v>3.02</v>
      </c>
      <c r="AL115" s="148" t="s">
        <v>47</v>
      </c>
      <c r="AM115" s="148" t="s">
        <v>47</v>
      </c>
      <c r="AN115" s="150">
        <v>0</v>
      </c>
      <c r="AO115" s="150">
        <v>0</v>
      </c>
      <c r="AP115" s="150">
        <v>0</v>
      </c>
      <c r="AQ115" s="150">
        <v>0</v>
      </c>
      <c r="AR115" s="150">
        <v>45306</v>
      </c>
      <c r="AS115" s="150">
        <v>13827.7</v>
      </c>
      <c r="AT115" s="150">
        <v>31478.400000000001</v>
      </c>
      <c r="AU115" s="150">
        <v>45306</v>
      </c>
      <c r="AV115" s="148" t="s">
        <v>120</v>
      </c>
      <c r="AW115" s="165" t="str">
        <f>VLOOKUP(AV115,Table3[#All],2,FALSE)</f>
        <v>Region5</v>
      </c>
      <c r="AX115" s="161" t="str">
        <f>IF(Key!$B$1&gt;0,CONCATENATE(O115,AW115),CONCATENATE(M115,AW115))</f>
        <v>AreaFRegion5</v>
      </c>
    </row>
    <row r="116" spans="1:50" s="152" customFormat="1" ht="29">
      <c r="A116" s="153" t="s">
        <v>115</v>
      </c>
      <c r="B116" s="58" t="s">
        <v>116</v>
      </c>
      <c r="C116" s="58" t="s">
        <v>44</v>
      </c>
      <c r="D116" s="60">
        <v>41639</v>
      </c>
      <c r="E116" s="58" t="s">
        <v>117</v>
      </c>
      <c r="F116" s="58" t="s">
        <v>118</v>
      </c>
      <c r="G116" s="62">
        <v>4</v>
      </c>
      <c r="H116" s="58" t="s">
        <v>119</v>
      </c>
      <c r="I116" s="62">
        <v>100</v>
      </c>
      <c r="J116" s="58" t="s">
        <v>49</v>
      </c>
      <c r="K116" s="58" t="s">
        <v>49</v>
      </c>
      <c r="L116" s="195">
        <v>1338403</v>
      </c>
      <c r="M116" s="199" t="str">
        <f>VLOOKUP(L116,Table2[#All],2,TRUE)</f>
        <v>AreaF</v>
      </c>
      <c r="N116" s="62">
        <v>923.5</v>
      </c>
      <c r="O116" s="164" t="str">
        <f>VLOOKUP(N116,Table1[#All],2,TRUE)</f>
        <v>BedD</v>
      </c>
      <c r="P116" s="62">
        <v>4</v>
      </c>
      <c r="Q116" s="58" t="s">
        <v>50</v>
      </c>
      <c r="R116" s="58" t="s">
        <v>47</v>
      </c>
      <c r="S116" s="58" t="s">
        <v>47</v>
      </c>
      <c r="T116" s="62">
        <v>44727419</v>
      </c>
      <c r="U116" s="210">
        <v>1403727.299999997</v>
      </c>
      <c r="V116" s="58" t="s">
        <v>47</v>
      </c>
      <c r="W116" s="62">
        <v>44727420</v>
      </c>
      <c r="X116" s="62">
        <v>2015292.0379999999</v>
      </c>
      <c r="Y116" s="210">
        <v>-56858.058999999892</v>
      </c>
      <c r="Z116" s="58" t="s">
        <v>47</v>
      </c>
      <c r="AA116" s="62">
        <v>48</v>
      </c>
      <c r="AB116" s="62">
        <v>264.60000000000002</v>
      </c>
      <c r="AC116" s="62">
        <v>354139176</v>
      </c>
      <c r="AD116" s="202">
        <v>-2.5373130781688926E-3</v>
      </c>
      <c r="AE116" s="62">
        <v>474874099.80000001</v>
      </c>
      <c r="AF116" s="62">
        <v>263.2</v>
      </c>
      <c r="AG116" s="202">
        <v>4.1863851474335641E-2</v>
      </c>
      <c r="AH116" s="58" t="s">
        <v>47</v>
      </c>
      <c r="AI116" s="62">
        <v>98132</v>
      </c>
      <c r="AJ116" s="62">
        <v>3951610.02</v>
      </c>
      <c r="AK116" s="62">
        <v>2.95</v>
      </c>
      <c r="AL116" s="62">
        <v>611690.01</v>
      </c>
      <c r="AM116" s="62">
        <v>0.46</v>
      </c>
      <c r="AN116" s="62">
        <v>0</v>
      </c>
      <c r="AO116" s="62">
        <v>0</v>
      </c>
      <c r="AP116" s="62">
        <v>0</v>
      </c>
      <c r="AQ116" s="62">
        <v>0</v>
      </c>
      <c r="AR116" s="62">
        <v>36093</v>
      </c>
      <c r="AS116" s="62">
        <v>10704.2</v>
      </c>
      <c r="AT116" s="62">
        <v>25388.799999999999</v>
      </c>
      <c r="AU116" s="62">
        <v>36093</v>
      </c>
      <c r="AV116" s="58" t="s">
        <v>120</v>
      </c>
      <c r="AW116" s="165" t="str">
        <f>VLOOKUP(AV116,Table3[#All],2,FALSE)</f>
        <v>Region5</v>
      </c>
      <c r="AX116" s="161" t="str">
        <f>IF(Key!$B$1&gt;0,CONCATENATE(O116,AW116),CONCATENATE(M116,AW116))</f>
        <v>AreaFRegion5</v>
      </c>
    </row>
    <row r="117" spans="1:50" s="152" customFormat="1" ht="29.5" thickBot="1">
      <c r="A117" s="154" t="s">
        <v>115</v>
      </c>
      <c r="B117" s="57" t="s">
        <v>116</v>
      </c>
      <c r="C117" s="57" t="s">
        <v>44</v>
      </c>
      <c r="D117" s="59">
        <v>41274</v>
      </c>
      <c r="E117" s="57" t="s">
        <v>117</v>
      </c>
      <c r="F117" s="57" t="s">
        <v>118</v>
      </c>
      <c r="G117" s="61">
        <v>4</v>
      </c>
      <c r="H117" s="57" t="s">
        <v>119</v>
      </c>
      <c r="I117" s="61">
        <v>100</v>
      </c>
      <c r="J117" s="57" t="s">
        <v>49</v>
      </c>
      <c r="K117" s="57" t="s">
        <v>49</v>
      </c>
      <c r="L117" s="196">
        <v>1315503.8</v>
      </c>
      <c r="M117" s="199" t="str">
        <f>VLOOKUP(L117,Table2[#All],2,TRUE)</f>
        <v>AreaF</v>
      </c>
      <c r="N117" s="61">
        <v>923.5</v>
      </c>
      <c r="O117" s="164" t="str">
        <f>VLOOKUP(N117,Table1[#All],2,TRUE)</f>
        <v>BedD</v>
      </c>
      <c r="P117" s="61">
        <v>4</v>
      </c>
      <c r="Q117" s="57" t="s">
        <v>50</v>
      </c>
      <c r="R117" s="57" t="s">
        <v>47</v>
      </c>
      <c r="S117" s="57" t="s">
        <v>47</v>
      </c>
      <c r="T117" s="61">
        <v>46131146.299999997</v>
      </c>
      <c r="U117" s="210">
        <v>20443.10000000149</v>
      </c>
      <c r="V117" s="57" t="s">
        <v>47</v>
      </c>
      <c r="W117" s="61">
        <v>46131150</v>
      </c>
      <c r="X117" s="61">
        <v>1958433.9790000001</v>
      </c>
      <c r="Y117" s="210">
        <v>259587.02299999981</v>
      </c>
      <c r="Z117" s="57" t="s">
        <v>47</v>
      </c>
      <c r="AA117" s="61">
        <v>41</v>
      </c>
      <c r="AB117" s="61">
        <v>268.5</v>
      </c>
      <c r="AC117" s="61">
        <v>353242888.19999999</v>
      </c>
      <c r="AD117" s="202">
        <v>6.8627526514807871E-2</v>
      </c>
      <c r="AE117" s="61">
        <v>471864664.39999998</v>
      </c>
      <c r="AF117" s="61">
        <v>274.7</v>
      </c>
      <c r="AG117" s="202">
        <v>5.2104899930986964E-2</v>
      </c>
      <c r="AH117" s="57" t="s">
        <v>47</v>
      </c>
      <c r="AI117" s="57" t="s">
        <v>47</v>
      </c>
      <c r="AJ117" s="61">
        <v>4120287.24</v>
      </c>
      <c r="AK117" s="61">
        <v>3.13</v>
      </c>
      <c r="AL117" s="57" t="s">
        <v>47</v>
      </c>
      <c r="AM117" s="57" t="s">
        <v>47</v>
      </c>
      <c r="AN117" s="61">
        <v>0</v>
      </c>
      <c r="AO117" s="61">
        <v>0</v>
      </c>
      <c r="AP117" s="61">
        <v>0</v>
      </c>
      <c r="AQ117" s="61">
        <v>0</v>
      </c>
      <c r="AR117" s="61">
        <v>36587.800000000003</v>
      </c>
      <c r="AS117" s="61">
        <v>10402.200000000001</v>
      </c>
      <c r="AT117" s="61">
        <v>26185.599999999999</v>
      </c>
      <c r="AU117" s="61">
        <v>36587.800000000003</v>
      </c>
      <c r="AV117" s="57" t="s">
        <v>120</v>
      </c>
      <c r="AW117" s="165" t="str">
        <f>VLOOKUP(AV117,Table3[#All],2,FALSE)</f>
        <v>Region5</v>
      </c>
      <c r="AX117" s="161" t="str">
        <f>IF(Key!$B$1&gt;0,CONCATENATE(O117,AW117),CONCATENATE(M117,AW117))</f>
        <v>AreaFRegion5</v>
      </c>
    </row>
    <row r="118" spans="1:50" s="151" customFormat="1" ht="29">
      <c r="A118" s="155" t="s">
        <v>258</v>
      </c>
      <c r="B118" s="156" t="s">
        <v>259</v>
      </c>
      <c r="C118" s="156" t="s">
        <v>44</v>
      </c>
      <c r="D118" s="157">
        <v>41274</v>
      </c>
      <c r="E118" s="156" t="s">
        <v>260</v>
      </c>
      <c r="F118" s="156" t="s">
        <v>261</v>
      </c>
      <c r="G118" s="158">
        <v>4</v>
      </c>
      <c r="H118" s="156" t="s">
        <v>262</v>
      </c>
      <c r="I118" s="158">
        <v>100</v>
      </c>
      <c r="J118" s="156" t="s">
        <v>49</v>
      </c>
      <c r="K118" s="156" t="s">
        <v>49</v>
      </c>
      <c r="L118" s="197">
        <v>530064.69999999995</v>
      </c>
      <c r="M118" s="199" t="str">
        <f>VLOOKUP(L118,Table2[#All],2,TRUE)</f>
        <v>AreaE</v>
      </c>
      <c r="N118" s="158">
        <v>406.5</v>
      </c>
      <c r="O118" s="164" t="str">
        <f>VLOOKUP(N118,Table1[#All],2,TRUE)</f>
        <v>BedC</v>
      </c>
      <c r="P118" s="158">
        <v>1</v>
      </c>
      <c r="Q118" s="156" t="s">
        <v>50</v>
      </c>
      <c r="R118" s="156" t="s">
        <v>47</v>
      </c>
      <c r="S118" s="156" t="s">
        <v>47</v>
      </c>
      <c r="T118" s="158">
        <v>17500413</v>
      </c>
      <c r="U118" s="211">
        <v>-1443781</v>
      </c>
      <c r="V118" s="156" t="s">
        <v>47</v>
      </c>
      <c r="W118" s="158">
        <v>17500420</v>
      </c>
      <c r="X118" s="158">
        <v>792351.96600000001</v>
      </c>
      <c r="Y118" s="211">
        <v>-174325.902</v>
      </c>
      <c r="Z118" s="156" t="s">
        <v>47</v>
      </c>
      <c r="AA118" s="158">
        <v>17</v>
      </c>
      <c r="AB118" s="158">
        <v>262.10000000000002</v>
      </c>
      <c r="AC118" s="158">
        <v>138946613.19999999</v>
      </c>
      <c r="AD118" s="203">
        <v>-0.19177618705634916</v>
      </c>
      <c r="AE118" s="158">
        <v>146613419</v>
      </c>
      <c r="AF118" s="158">
        <v>260.8</v>
      </c>
      <c r="AG118" s="203">
        <v>-2.6912725874663149E-3</v>
      </c>
      <c r="AH118" s="156" t="s">
        <v>47</v>
      </c>
      <c r="AI118" s="158">
        <v>18754.599999999999</v>
      </c>
      <c r="AJ118" s="158">
        <v>1454065.24</v>
      </c>
      <c r="AK118" s="158">
        <v>2.74</v>
      </c>
      <c r="AL118" s="156" t="s">
        <v>47</v>
      </c>
      <c r="AM118" s="156" t="s">
        <v>47</v>
      </c>
      <c r="AN118" s="158">
        <v>0</v>
      </c>
      <c r="AO118" s="158">
        <v>0</v>
      </c>
      <c r="AP118" s="158">
        <v>0</v>
      </c>
      <c r="AQ118" s="158">
        <v>0</v>
      </c>
      <c r="AR118" s="158">
        <v>17087.2</v>
      </c>
      <c r="AS118" s="158">
        <v>4208.6000000000004</v>
      </c>
      <c r="AT118" s="158">
        <v>12878.7</v>
      </c>
      <c r="AU118" s="158">
        <v>17087.2</v>
      </c>
      <c r="AV118" s="156" t="s">
        <v>120</v>
      </c>
      <c r="AW118" s="165" t="str">
        <f>VLOOKUP(AV118,Table3[#All],2,FALSE)</f>
        <v>Region5</v>
      </c>
      <c r="AX118" s="161" t="str">
        <f>IF(Key!$B$1&gt;0,CONCATENATE(O118,AW118),CONCATENATE(M118,AW118))</f>
        <v>AreaERegion5</v>
      </c>
    </row>
    <row r="119" spans="1:50" s="56" customFormat="1" ht="29.5" thickBot="1">
      <c r="A119" s="159" t="s">
        <v>258</v>
      </c>
      <c r="B119" s="47" t="s">
        <v>259</v>
      </c>
      <c r="C119" s="47" t="s">
        <v>44</v>
      </c>
      <c r="D119" s="51">
        <v>40908</v>
      </c>
      <c r="E119" s="47" t="s">
        <v>260</v>
      </c>
      <c r="F119" s="47" t="s">
        <v>261</v>
      </c>
      <c r="G119" s="54">
        <v>4</v>
      </c>
      <c r="H119" s="47" t="s">
        <v>262</v>
      </c>
      <c r="I119" s="54">
        <v>100</v>
      </c>
      <c r="J119" s="47" t="s">
        <v>49</v>
      </c>
      <c r="K119" s="47" t="s">
        <v>49</v>
      </c>
      <c r="L119" s="198">
        <v>446897</v>
      </c>
      <c r="M119" s="199" t="str">
        <f>VLOOKUP(L119,Table2[#All],2,TRUE)</f>
        <v>AreaD</v>
      </c>
      <c r="N119" s="54">
        <v>406.5</v>
      </c>
      <c r="O119" s="164" t="str">
        <f>VLOOKUP(N119,Table1[#All],2,TRUE)</f>
        <v>BedC</v>
      </c>
      <c r="P119" s="54">
        <v>1</v>
      </c>
      <c r="Q119" s="47" t="s">
        <v>50</v>
      </c>
      <c r="R119" s="47" t="s">
        <v>47</v>
      </c>
      <c r="S119" s="47" t="s">
        <v>47</v>
      </c>
      <c r="T119" s="54">
        <v>16056632</v>
      </c>
      <c r="U119" s="210">
        <v>-349804.80000000075</v>
      </c>
      <c r="V119" s="47" t="s">
        <v>47</v>
      </c>
      <c r="W119" s="54">
        <v>16056630</v>
      </c>
      <c r="X119" s="54">
        <v>618026.06400000001</v>
      </c>
      <c r="Y119" s="210">
        <v>81933.923999999999</v>
      </c>
      <c r="Z119" s="47" t="s">
        <v>47</v>
      </c>
      <c r="AA119" s="54">
        <v>18</v>
      </c>
      <c r="AB119" s="54">
        <v>260.89999999999998</v>
      </c>
      <c r="AC119" s="54">
        <v>116587841.5</v>
      </c>
      <c r="AD119" s="202">
        <v>5.6638792716876447E-2</v>
      </c>
      <c r="AE119" s="54">
        <v>139465172.90000001</v>
      </c>
      <c r="AF119" s="54">
        <v>260.10000000000002</v>
      </c>
      <c r="AG119" s="202">
        <v>6.7407673001075502E-2</v>
      </c>
      <c r="AH119" s="47" t="s">
        <v>47</v>
      </c>
      <c r="AI119" s="54">
        <v>23496.799999999999</v>
      </c>
      <c r="AJ119" s="54">
        <v>1437182.32</v>
      </c>
      <c r="AK119" s="54">
        <v>3.22</v>
      </c>
      <c r="AL119" s="47" t="s">
        <v>47</v>
      </c>
      <c r="AM119" s="47" t="s">
        <v>47</v>
      </c>
      <c r="AN119" s="54">
        <v>0</v>
      </c>
      <c r="AO119" s="54">
        <v>0</v>
      </c>
      <c r="AP119" s="54">
        <v>0</v>
      </c>
      <c r="AQ119" s="54">
        <v>0</v>
      </c>
      <c r="AR119" s="54">
        <v>15098.8</v>
      </c>
      <c r="AS119" s="54">
        <v>3282.6</v>
      </c>
      <c r="AT119" s="54">
        <v>11816.2</v>
      </c>
      <c r="AU119" s="54">
        <v>15098.8</v>
      </c>
      <c r="AV119" s="47" t="s">
        <v>120</v>
      </c>
      <c r="AW119" s="165" t="str">
        <f>VLOOKUP(AV119,Table3[#All],2,FALSE)</f>
        <v>Region5</v>
      </c>
      <c r="AX119" s="161" t="str">
        <f>IF(Key!$B$1&gt;0,CONCATENATE(O119,AW119),CONCATENATE(M119,AW119))</f>
        <v>AreaDRegion5</v>
      </c>
    </row>
    <row r="120" spans="1:50" s="160" customFormat="1" ht="29">
      <c r="A120" s="73" t="s">
        <v>140</v>
      </c>
      <c r="B120" s="74" t="s">
        <v>141</v>
      </c>
      <c r="C120" s="74" t="s">
        <v>44</v>
      </c>
      <c r="D120" s="75">
        <v>42735</v>
      </c>
      <c r="E120" s="74" t="s">
        <v>142</v>
      </c>
      <c r="F120" s="74" t="s">
        <v>143</v>
      </c>
      <c r="G120" s="76">
        <v>1</v>
      </c>
      <c r="H120" s="74" t="s">
        <v>90</v>
      </c>
      <c r="I120" s="76">
        <v>100</v>
      </c>
      <c r="J120" s="74" t="s">
        <v>49</v>
      </c>
      <c r="K120" s="74" t="s">
        <v>47</v>
      </c>
      <c r="L120" s="172">
        <v>185700</v>
      </c>
      <c r="M120" s="199" t="str">
        <f>VLOOKUP(L120,Table2[#All],2,TRUE)</f>
        <v>AreaC</v>
      </c>
      <c r="N120" s="76">
        <v>128.13</v>
      </c>
      <c r="O120" s="164" t="str">
        <f>VLOOKUP(N120,Table1[#All],2,TRUE)</f>
        <v>BedB</v>
      </c>
      <c r="P120" s="76">
        <v>1</v>
      </c>
      <c r="Q120" s="74" t="s">
        <v>50</v>
      </c>
      <c r="R120" s="74" t="s">
        <v>47</v>
      </c>
      <c r="S120" s="74" t="s">
        <v>47</v>
      </c>
      <c r="T120" s="76">
        <v>6970707.0999999996</v>
      </c>
      <c r="U120" s="208">
        <v>517441.60000000056</v>
      </c>
      <c r="V120" s="74" t="s">
        <v>47</v>
      </c>
      <c r="W120" s="76">
        <v>6970708</v>
      </c>
      <c r="X120" s="76">
        <v>200774.96966999999</v>
      </c>
      <c r="Y120" s="208">
        <v>83038.319930000027</v>
      </c>
      <c r="Z120" s="74" t="s">
        <v>47</v>
      </c>
      <c r="AA120" s="76">
        <v>32</v>
      </c>
      <c r="AB120" s="76">
        <v>236.2</v>
      </c>
      <c r="AC120" s="76">
        <v>43861552.399999999</v>
      </c>
      <c r="AD120" s="200">
        <v>0.18670825114204118</v>
      </c>
      <c r="AE120" s="76">
        <v>43858163.600000001</v>
      </c>
      <c r="AF120" s="76">
        <v>236</v>
      </c>
      <c r="AG120" s="200">
        <v>0.18732782369146</v>
      </c>
      <c r="AH120" s="74" t="s">
        <v>47</v>
      </c>
      <c r="AI120" s="74" t="s">
        <v>47</v>
      </c>
      <c r="AJ120" s="76">
        <v>1216605.8600000001</v>
      </c>
      <c r="AK120" s="76">
        <v>6.55</v>
      </c>
      <c r="AL120" s="74" t="s">
        <v>47</v>
      </c>
      <c r="AM120" s="74" t="s">
        <v>47</v>
      </c>
      <c r="AN120" s="76">
        <v>0</v>
      </c>
      <c r="AO120" s="76">
        <v>0</v>
      </c>
      <c r="AP120" s="76">
        <v>0</v>
      </c>
      <c r="AQ120" s="76">
        <v>0</v>
      </c>
      <c r="AR120" s="76">
        <v>2741.8</v>
      </c>
      <c r="AS120" s="76">
        <v>1066.4000000000001</v>
      </c>
      <c r="AT120" s="76">
        <v>1675.4</v>
      </c>
      <c r="AU120" s="76">
        <v>2741.8</v>
      </c>
      <c r="AV120" s="74" t="s">
        <v>69</v>
      </c>
      <c r="AW120" s="165" t="str">
        <f>VLOOKUP(AV120,Table3[#All],2,FALSE)</f>
        <v>Region9</v>
      </c>
      <c r="AX120" s="161" t="str">
        <f>IF(Key!$B$1&gt;0,CONCATENATE(O120,AW120),CONCATENATE(M120,AW120))</f>
        <v>AreaCRegion9</v>
      </c>
    </row>
  </sheetData>
  <autoFilter ref="A2:AX120"/>
  <conditionalFormatting sqref="AF28:AF44 AA28:AC44 AA88:AC107 AA109:AC114 T28:T44 T46:T52 T88:T107 X28:X44 X46:X52 X88:X107">
    <cfRule type="cellIs" dxfId="16" priority="27" operator="equal">
      <formula>"Not available"</formula>
    </cfRule>
  </conditionalFormatting>
  <conditionalFormatting sqref="AF46:AF52">
    <cfRule type="cellIs" dxfId="15" priority="26" operator="equal">
      <formula>"Not available"</formula>
    </cfRule>
  </conditionalFormatting>
  <conditionalFormatting sqref="AA46:AC52">
    <cfRule type="cellIs" dxfId="14" priority="24" operator="equal">
      <formula>"Not available"</formula>
    </cfRule>
    <cfRule type="cellIs" dxfId="13" priority="25" operator="equal">
      <formula>"Not available"</formula>
    </cfRule>
  </conditionalFormatting>
  <conditionalFormatting sqref="AF53:AF61 AA53:AC61 AA63:AC86 T120 X120 AA120:AC120 T53:T61 T63:T86 T109:T114 X53:X61 X63:X86 X109:X114">
    <cfRule type="cellIs" dxfId="12" priority="23" operator="equal">
      <formula>"not available"</formula>
    </cfRule>
  </conditionalFormatting>
  <conditionalFormatting sqref="AF63:AF72">
    <cfRule type="cellIs" dxfId="11" priority="22" operator="equal">
      <formula>"not available"</formula>
    </cfRule>
  </conditionalFormatting>
  <conditionalFormatting sqref="AF73:AF86">
    <cfRule type="cellIs" dxfId="10" priority="21" operator="equal">
      <formula>"not available"</formula>
    </cfRule>
  </conditionalFormatting>
  <conditionalFormatting sqref="AF88:AF99">
    <cfRule type="cellIs" dxfId="9" priority="20" operator="equal">
      <formula>"Not available"</formula>
    </cfRule>
  </conditionalFormatting>
  <conditionalFormatting sqref="AF100:AF107">
    <cfRule type="cellIs" dxfId="8" priority="19" operator="equal">
      <formula>"Not available"</formula>
    </cfRule>
  </conditionalFormatting>
  <conditionalFormatting sqref="AF109:AF114">
    <cfRule type="cellIs" dxfId="7" priority="18" operator="equal">
      <formula>"not available"</formula>
    </cfRule>
  </conditionalFormatting>
  <conditionalFormatting sqref="AE120:AF120">
    <cfRule type="cellIs" dxfId="6" priority="16" operator="equal">
      <formula>"not available"</formula>
    </cfRule>
  </conditionalFormatting>
  <conditionalFormatting sqref="M3:M120">
    <cfRule type="cellIs" dxfId="5" priority="15" operator="equal">
      <formula>"Not Available"</formula>
    </cfRule>
  </conditionalFormatting>
  <conditionalFormatting sqref="AW3:AW120">
    <cfRule type="cellIs" dxfId="4" priority="14" operator="equal">
      <formula>"N/A"</formula>
    </cfRule>
  </conditionalFormatting>
  <conditionalFormatting sqref="AX3:AX120">
    <cfRule type="cellIs" dxfId="3" priority="13" operator="equal">
      <formula>"Zone3BAreaBBedA"</formula>
    </cfRule>
  </conditionalFormatting>
  <conditionalFormatting sqref="AX1:AX1048576">
    <cfRule type="cellIs" dxfId="2" priority="1" operator="equal">
      <formula>"BedDAreaERegion5"</formula>
    </cfRule>
    <cfRule type="cellIs" dxfId="1" priority="3" operator="equal">
      <formula>"BedHAreazRegion5"</formula>
    </cfRule>
  </conditionalFormatting>
  <conditionalFormatting sqref="AG1:AG1048576">
    <cfRule type="cellIs" dxfId="0" priority="2" operator="equal">
      <formula>35.12</formula>
    </cfRule>
  </conditionalFormatting>
  <printOptions horizontalCentered="1"/>
  <pageMargins left="0.7" right="0.7" top="0.75" bottom="0.75" header="0.3" footer="0.3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ASHE Energy to Care</vt:lpstr>
    </vt:vector>
  </TitlesOfParts>
  <Company>American Hospital Association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Brooks, Kara</dc:creator>
  <cp:lastModifiedBy>Oliver, Samantha</cp:lastModifiedBy>
  <dcterms:created xsi:type="dcterms:W3CDTF">2018-12-17T23:22:22Z</dcterms:created>
  <dcterms:modified xsi:type="dcterms:W3CDTF">2022-04-22T20:56:14Z</dcterms:modified>
</cp:coreProperties>
</file>